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LLY\St. Charles' Church stuff\Treasurer\2020\"/>
    </mc:Choice>
  </mc:AlternateContent>
  <bookViews>
    <workbookView xWindow="0" yWindow="0" windowWidth="22500" windowHeight="1173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9" i="1" l="1"/>
  <c r="T119" i="1" s="1"/>
  <c r="S42" i="1"/>
  <c r="T42" i="1"/>
  <c r="U44" i="1"/>
  <c r="U62" i="1" s="1"/>
  <c r="U53" i="1"/>
  <c r="U165" i="1"/>
  <c r="S41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T162" i="1"/>
  <c r="Q162" i="1"/>
  <c r="T161" i="1"/>
  <c r="Q161" i="1"/>
  <c r="T160" i="1"/>
  <c r="Q160" i="1"/>
  <c r="S160" i="1" s="1"/>
  <c r="T159" i="1"/>
  <c r="Q159" i="1"/>
  <c r="T158" i="1"/>
  <c r="Q158" i="1"/>
  <c r="T157" i="1"/>
  <c r="Q157" i="1"/>
  <c r="T156" i="1"/>
  <c r="Q156" i="1"/>
  <c r="R163" i="1"/>
  <c r="T163" i="1" s="1"/>
  <c r="Q155" i="1"/>
  <c r="P152" i="1"/>
  <c r="O152" i="1"/>
  <c r="O165" i="1" s="1"/>
  <c r="G152" i="1"/>
  <c r="G165" i="1" s="1"/>
  <c r="T151" i="1"/>
  <c r="Q151" i="1"/>
  <c r="S151" i="1" s="1"/>
  <c r="T150" i="1"/>
  <c r="Q150" i="1"/>
  <c r="S150" i="1" s="1"/>
  <c r="T149" i="1"/>
  <c r="Q149" i="1"/>
  <c r="S149" i="1" s="1"/>
  <c r="T148" i="1"/>
  <c r="N148" i="1"/>
  <c r="N152" i="1" s="1"/>
  <c r="N165" i="1" s="1"/>
  <c r="M148" i="1"/>
  <c r="M152" i="1" s="1"/>
  <c r="L148" i="1"/>
  <c r="L152" i="1" s="1"/>
  <c r="L165" i="1" s="1"/>
  <c r="K148" i="1"/>
  <c r="K152" i="1" s="1"/>
  <c r="K165" i="1" s="1"/>
  <c r="J148" i="1"/>
  <c r="J152" i="1" s="1"/>
  <c r="J165" i="1" s="1"/>
  <c r="I148" i="1"/>
  <c r="I152" i="1" s="1"/>
  <c r="H148" i="1"/>
  <c r="H152" i="1" s="1"/>
  <c r="H165" i="1" s="1"/>
  <c r="G148" i="1"/>
  <c r="F148" i="1"/>
  <c r="F152" i="1" s="1"/>
  <c r="F165" i="1" s="1"/>
  <c r="E148" i="1"/>
  <c r="E152" i="1" s="1"/>
  <c r="T147" i="1"/>
  <c r="Q147" i="1"/>
  <c r="R146" i="1"/>
  <c r="T146" i="1" s="1"/>
  <c r="Q146" i="1"/>
  <c r="T145" i="1"/>
  <c r="Q145" i="1"/>
  <c r="T144" i="1"/>
  <c r="Q144" i="1"/>
  <c r="R152" i="1"/>
  <c r="Q143" i="1"/>
  <c r="P138" i="1"/>
  <c r="O138" i="1"/>
  <c r="N138" i="1"/>
  <c r="M138" i="1"/>
  <c r="L138" i="1"/>
  <c r="K138" i="1"/>
  <c r="J138" i="1"/>
  <c r="H138" i="1"/>
  <c r="G138" i="1"/>
  <c r="F138" i="1"/>
  <c r="E138" i="1"/>
  <c r="T137" i="1"/>
  <c r="Q137" i="1"/>
  <c r="R138" i="1"/>
  <c r="T138" i="1" s="1"/>
  <c r="I136" i="1"/>
  <c r="I138" i="1" s="1"/>
  <c r="P133" i="1"/>
  <c r="O133" i="1"/>
  <c r="M133" i="1"/>
  <c r="I133" i="1"/>
  <c r="T132" i="1"/>
  <c r="Q132" i="1"/>
  <c r="S132" i="1" s="1"/>
  <c r="T131" i="1"/>
  <c r="Q131" i="1"/>
  <c r="S131" i="1" s="1"/>
  <c r="T130" i="1"/>
  <c r="N130" i="1"/>
  <c r="N133" i="1" s="1"/>
  <c r="L130" i="1"/>
  <c r="L133" i="1" s="1"/>
  <c r="K130" i="1"/>
  <c r="K133" i="1" s="1"/>
  <c r="J130" i="1"/>
  <c r="J133" i="1" s="1"/>
  <c r="H130" i="1"/>
  <c r="H133" i="1" s="1"/>
  <c r="G130" i="1"/>
  <c r="G133" i="1" s="1"/>
  <c r="F130" i="1"/>
  <c r="F133" i="1" s="1"/>
  <c r="E130" i="1"/>
  <c r="E133" i="1" s="1"/>
  <c r="T129" i="1"/>
  <c r="Q129" i="1"/>
  <c r="T128" i="1"/>
  <c r="Q128" i="1"/>
  <c r="T127" i="1"/>
  <c r="Q127" i="1"/>
  <c r="T126" i="1"/>
  <c r="Q126" i="1"/>
  <c r="T125" i="1"/>
  <c r="Q125" i="1"/>
  <c r="T124" i="1"/>
  <c r="Q124" i="1"/>
  <c r="T123" i="1"/>
  <c r="Q123" i="1"/>
  <c r="R133" i="1"/>
  <c r="T133" i="1" s="1"/>
  <c r="Q122" i="1"/>
  <c r="P119" i="1"/>
  <c r="O119" i="1"/>
  <c r="N119" i="1"/>
  <c r="M119" i="1"/>
  <c r="K119" i="1"/>
  <c r="J119" i="1"/>
  <c r="I119" i="1"/>
  <c r="H119" i="1"/>
  <c r="G119" i="1"/>
  <c r="F119" i="1"/>
  <c r="E119" i="1"/>
  <c r="T118" i="1"/>
  <c r="Q118" i="1"/>
  <c r="T117" i="1"/>
  <c r="Q117" i="1"/>
  <c r="T116" i="1"/>
  <c r="Q116" i="1"/>
  <c r="T115" i="1"/>
  <c r="Q115" i="1"/>
  <c r="R114" i="1"/>
  <c r="T114" i="1" s="1"/>
  <c r="Q114" i="1"/>
  <c r="T113" i="1"/>
  <c r="Q113" i="1"/>
  <c r="T112" i="1"/>
  <c r="Q112" i="1"/>
  <c r="T111" i="1"/>
  <c r="Q111" i="1"/>
  <c r="T110" i="1"/>
  <c r="Q110" i="1"/>
  <c r="T109" i="1"/>
  <c r="O109" i="1"/>
  <c r="L109" i="1"/>
  <c r="Q109" i="1" s="1"/>
  <c r="S109" i="1" s="1"/>
  <c r="T108" i="1"/>
  <c r="Q108" i="1"/>
  <c r="S108" i="1" s="1"/>
  <c r="T107" i="1"/>
  <c r="Q107" i="1"/>
  <c r="S107" i="1" s="1"/>
  <c r="R106" i="1"/>
  <c r="T106" i="1" s="1"/>
  <c r="Q106" i="1"/>
  <c r="Q119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R101" i="1"/>
  <c r="Q101" i="1"/>
  <c r="T100" i="1"/>
  <c r="Q100" i="1"/>
  <c r="S100" i="1" s="1"/>
  <c r="R99" i="1"/>
  <c r="R102" i="1" s="1"/>
  <c r="Q99" i="1"/>
  <c r="Q98" i="1"/>
  <c r="Q102" i="1" s="1"/>
  <c r="P93" i="1"/>
  <c r="O93" i="1"/>
  <c r="N93" i="1"/>
  <c r="M93" i="1"/>
  <c r="L93" i="1"/>
  <c r="K93" i="1"/>
  <c r="J93" i="1"/>
  <c r="I93" i="1"/>
  <c r="H93" i="1"/>
  <c r="G93" i="1"/>
  <c r="F93" i="1"/>
  <c r="E93" i="1"/>
  <c r="T92" i="1"/>
  <c r="Q92" i="1"/>
  <c r="S92" i="1" s="1"/>
  <c r="R91" i="1"/>
  <c r="T91" i="1" s="1"/>
  <c r="Q91" i="1"/>
  <c r="R90" i="1"/>
  <c r="T90" i="1" s="1"/>
  <c r="Q90" i="1"/>
  <c r="R89" i="1"/>
  <c r="T89" i="1" s="1"/>
  <c r="Q89" i="1"/>
  <c r="T88" i="1"/>
  <c r="Q88" i="1"/>
  <c r="T87" i="1"/>
  <c r="Q87" i="1"/>
  <c r="T86" i="1"/>
  <c r="Q86" i="1"/>
  <c r="T85" i="1"/>
  <c r="Q85" i="1"/>
  <c r="T84" i="1"/>
  <c r="Q84" i="1"/>
  <c r="T83" i="1"/>
  <c r="Q83" i="1"/>
  <c r="T82" i="1"/>
  <c r="Q82" i="1"/>
  <c r="T81" i="1"/>
  <c r="Q81" i="1"/>
  <c r="T80" i="1"/>
  <c r="Q80" i="1"/>
  <c r="Q93" i="1" s="1"/>
  <c r="P77" i="1"/>
  <c r="O77" i="1"/>
  <c r="N77" i="1"/>
  <c r="M77" i="1"/>
  <c r="L77" i="1"/>
  <c r="K77" i="1"/>
  <c r="J77" i="1"/>
  <c r="I77" i="1"/>
  <c r="H77" i="1"/>
  <c r="G77" i="1"/>
  <c r="F77" i="1"/>
  <c r="E77" i="1"/>
  <c r="T76" i="1"/>
  <c r="Q76" i="1"/>
  <c r="T75" i="1"/>
  <c r="Q75" i="1"/>
  <c r="T74" i="1"/>
  <c r="Q74" i="1"/>
  <c r="R77" i="1"/>
  <c r="P70" i="1"/>
  <c r="O70" i="1"/>
  <c r="N70" i="1"/>
  <c r="M70" i="1"/>
  <c r="L70" i="1"/>
  <c r="K70" i="1"/>
  <c r="J70" i="1"/>
  <c r="I70" i="1"/>
  <c r="H70" i="1"/>
  <c r="G70" i="1"/>
  <c r="F70" i="1"/>
  <c r="E70" i="1"/>
  <c r="T69" i="1"/>
  <c r="T68" i="1"/>
  <c r="Q68" i="1"/>
  <c r="R70" i="1"/>
  <c r="Q67" i="1"/>
  <c r="P60" i="1"/>
  <c r="O60" i="1"/>
  <c r="N60" i="1"/>
  <c r="M60" i="1"/>
  <c r="L60" i="1"/>
  <c r="K60" i="1"/>
  <c r="J60" i="1"/>
  <c r="I60" i="1"/>
  <c r="H60" i="1"/>
  <c r="G60" i="1"/>
  <c r="F60" i="1"/>
  <c r="E60" i="1"/>
  <c r="T59" i="1"/>
  <c r="T58" i="1"/>
  <c r="S58" i="1"/>
  <c r="T57" i="1"/>
  <c r="P53" i="1"/>
  <c r="O53" i="1"/>
  <c r="N53" i="1"/>
  <c r="M53" i="1"/>
  <c r="L53" i="1"/>
  <c r="K53" i="1"/>
  <c r="J53" i="1"/>
  <c r="I53" i="1"/>
  <c r="H53" i="1"/>
  <c r="G53" i="1"/>
  <c r="E53" i="1"/>
  <c r="T52" i="1"/>
  <c r="Q52" i="1"/>
  <c r="T51" i="1"/>
  <c r="T50" i="1"/>
  <c r="T49" i="1"/>
  <c r="F49" i="1"/>
  <c r="F53" i="1" s="1"/>
  <c r="T48" i="1"/>
  <c r="Q48" i="1"/>
  <c r="T47" i="1"/>
  <c r="Q47" i="1"/>
  <c r="S47" i="1" s="1"/>
  <c r="P44" i="1"/>
  <c r="O44" i="1"/>
  <c r="O62" i="1" s="1"/>
  <c r="N44" i="1"/>
  <c r="M44" i="1"/>
  <c r="M62" i="1" s="1"/>
  <c r="L44" i="1"/>
  <c r="K44" i="1"/>
  <c r="K62" i="1" s="1"/>
  <c r="J44" i="1"/>
  <c r="I44" i="1"/>
  <c r="I62" i="1" s="1"/>
  <c r="H44" i="1"/>
  <c r="G44" i="1"/>
  <c r="G62" i="1" s="1"/>
  <c r="F44" i="1"/>
  <c r="E44" i="1"/>
  <c r="E62" i="1" s="1"/>
  <c r="T43" i="1"/>
  <c r="S43" i="1"/>
  <c r="R42" i="1"/>
  <c r="Q42" i="1"/>
  <c r="R44" i="1"/>
  <c r="Q44" i="1"/>
  <c r="P33" i="1"/>
  <c r="O33" i="1"/>
  <c r="N33" i="1"/>
  <c r="M33" i="1"/>
  <c r="L33" i="1"/>
  <c r="K33" i="1"/>
  <c r="J33" i="1"/>
  <c r="I33" i="1"/>
  <c r="H33" i="1"/>
  <c r="G33" i="1"/>
  <c r="F33" i="1"/>
  <c r="E33" i="1"/>
  <c r="Q31" i="1"/>
  <c r="Q27" i="1"/>
  <c r="Q25" i="1"/>
  <c r="Q23" i="1"/>
  <c r="Q33" i="1" s="1"/>
  <c r="P18" i="1"/>
  <c r="P35" i="1" s="1"/>
  <c r="O18" i="1"/>
  <c r="N18" i="1"/>
  <c r="N35" i="1" s="1"/>
  <c r="M18" i="1"/>
  <c r="L18" i="1"/>
  <c r="L35" i="1" s="1"/>
  <c r="K18" i="1"/>
  <c r="J18" i="1"/>
  <c r="J35" i="1" s="1"/>
  <c r="I18" i="1"/>
  <c r="H18" i="1"/>
  <c r="H35" i="1" s="1"/>
  <c r="G18" i="1"/>
  <c r="F18" i="1"/>
  <c r="F35" i="1" s="1"/>
  <c r="E18" i="1"/>
  <c r="Q12" i="1"/>
  <c r="Q9" i="1"/>
  <c r="Q5" i="1"/>
  <c r="U167" i="1" l="1"/>
  <c r="U171" i="1" s="1"/>
  <c r="T77" i="1"/>
  <c r="U169" i="1"/>
  <c r="Q18" i="1"/>
  <c r="S57" i="1"/>
  <c r="E95" i="1"/>
  <c r="G95" i="1"/>
  <c r="I95" i="1"/>
  <c r="K95" i="1"/>
  <c r="M95" i="1"/>
  <c r="O95" i="1"/>
  <c r="S76" i="1"/>
  <c r="Q163" i="1"/>
  <c r="S156" i="1"/>
  <c r="E35" i="1"/>
  <c r="G35" i="1"/>
  <c r="I35" i="1"/>
  <c r="K35" i="1"/>
  <c r="M35" i="1"/>
  <c r="O35" i="1"/>
  <c r="F62" i="1"/>
  <c r="H62" i="1"/>
  <c r="J62" i="1"/>
  <c r="L62" i="1"/>
  <c r="N62" i="1"/>
  <c r="P62" i="1"/>
  <c r="Q53" i="1"/>
  <c r="Q62" i="1" s="1"/>
  <c r="Q169" i="1" s="1"/>
  <c r="S51" i="1"/>
  <c r="S52" i="1"/>
  <c r="Q60" i="1"/>
  <c r="S67" i="1"/>
  <c r="Q70" i="1"/>
  <c r="S69" i="1"/>
  <c r="Q77" i="1"/>
  <c r="S74" i="1"/>
  <c r="S81" i="1"/>
  <c r="S82" i="1"/>
  <c r="S83" i="1"/>
  <c r="S84" i="1"/>
  <c r="S85" i="1"/>
  <c r="S86" i="1"/>
  <c r="S87" i="1"/>
  <c r="S88" i="1"/>
  <c r="S89" i="1"/>
  <c r="S90" i="1"/>
  <c r="S91" i="1"/>
  <c r="R93" i="1"/>
  <c r="T93" i="1" s="1"/>
  <c r="F140" i="1"/>
  <c r="H140" i="1"/>
  <c r="J140" i="1"/>
  <c r="N140" i="1"/>
  <c r="P140" i="1"/>
  <c r="S110" i="1"/>
  <c r="S111" i="1"/>
  <c r="S112" i="1"/>
  <c r="S113" i="1"/>
  <c r="S114" i="1"/>
  <c r="S115" i="1"/>
  <c r="S116" i="1"/>
  <c r="S117" i="1"/>
  <c r="S118" i="1"/>
  <c r="S123" i="1"/>
  <c r="S124" i="1"/>
  <c r="S125" i="1"/>
  <c r="S126" i="1"/>
  <c r="S127" i="1"/>
  <c r="S128" i="1"/>
  <c r="S129" i="1"/>
  <c r="Q136" i="1"/>
  <c r="Q138" i="1" s="1"/>
  <c r="S137" i="1"/>
  <c r="S144" i="1"/>
  <c r="S145" i="1"/>
  <c r="S146" i="1"/>
  <c r="S147" i="1"/>
  <c r="E165" i="1"/>
  <c r="I165" i="1"/>
  <c r="M165" i="1"/>
  <c r="S158" i="1"/>
  <c r="S162" i="1"/>
  <c r="G169" i="1"/>
  <c r="Q35" i="1"/>
  <c r="T44" i="1"/>
  <c r="F169" i="1"/>
  <c r="H169" i="1"/>
  <c r="J169" i="1"/>
  <c r="L169" i="1"/>
  <c r="N169" i="1"/>
  <c r="P169" i="1"/>
  <c r="E169" i="1"/>
  <c r="T41" i="1"/>
  <c r="R53" i="1"/>
  <c r="R60" i="1"/>
  <c r="T60" i="1" s="1"/>
  <c r="F95" i="1"/>
  <c r="F167" i="1" s="1"/>
  <c r="F171" i="1" s="1"/>
  <c r="F175" i="1" s="1"/>
  <c r="H95" i="1"/>
  <c r="J95" i="1"/>
  <c r="J167" i="1" s="1"/>
  <c r="J171" i="1" s="1"/>
  <c r="J175" i="1" s="1"/>
  <c r="L95" i="1"/>
  <c r="N95" i="1"/>
  <c r="N167" i="1" s="1"/>
  <c r="N171" i="1" s="1"/>
  <c r="N175" i="1" s="1"/>
  <c r="P95" i="1"/>
  <c r="S77" i="1"/>
  <c r="T73" i="1"/>
  <c r="S75" i="1"/>
  <c r="R140" i="1"/>
  <c r="T140" i="1" s="1"/>
  <c r="T102" i="1"/>
  <c r="S44" i="1"/>
  <c r="I169" i="1"/>
  <c r="K169" i="1"/>
  <c r="M169" i="1"/>
  <c r="O169" i="1"/>
  <c r="S49" i="1"/>
  <c r="S53" i="1" s="1"/>
  <c r="S59" i="1"/>
  <c r="R95" i="1"/>
  <c r="T70" i="1"/>
  <c r="S68" i="1"/>
  <c r="S70" i="1" s="1"/>
  <c r="S80" i="1"/>
  <c r="T67" i="1"/>
  <c r="S73" i="1"/>
  <c r="S98" i="1"/>
  <c r="S102" i="1" s="1"/>
  <c r="E140" i="1"/>
  <c r="G140" i="1"/>
  <c r="G167" i="1" s="1"/>
  <c r="G171" i="1" s="1"/>
  <c r="G175" i="1" s="1"/>
  <c r="I140" i="1"/>
  <c r="K140" i="1"/>
  <c r="K167" i="1" s="1"/>
  <c r="K171" i="1" s="1"/>
  <c r="K175" i="1" s="1"/>
  <c r="M140" i="1"/>
  <c r="O140" i="1"/>
  <c r="O167" i="1" s="1"/>
  <c r="O171" i="1" s="1"/>
  <c r="O175" i="1" s="1"/>
  <c r="L119" i="1"/>
  <c r="L140" i="1" s="1"/>
  <c r="S122" i="1"/>
  <c r="Q130" i="1"/>
  <c r="S130" i="1" s="1"/>
  <c r="S136" i="1"/>
  <c r="S138" i="1" s="1"/>
  <c r="R165" i="1"/>
  <c r="T165" i="1" s="1"/>
  <c r="T152" i="1"/>
  <c r="Q148" i="1"/>
  <c r="S148" i="1" s="1"/>
  <c r="P165" i="1"/>
  <c r="T155" i="1"/>
  <c r="S157" i="1"/>
  <c r="S159" i="1"/>
  <c r="S161" i="1"/>
  <c r="T98" i="1"/>
  <c r="S106" i="1"/>
  <c r="T122" i="1"/>
  <c r="S143" i="1"/>
  <c r="T136" i="1"/>
  <c r="T143" i="1"/>
  <c r="S155" i="1"/>
  <c r="S119" i="1" l="1"/>
  <c r="S93" i="1"/>
  <c r="S95" i="1" s="1"/>
  <c r="T53" i="1"/>
  <c r="S163" i="1"/>
  <c r="I167" i="1"/>
  <c r="I171" i="1" s="1"/>
  <c r="I175" i="1" s="1"/>
  <c r="M167" i="1"/>
  <c r="M171" i="1" s="1"/>
  <c r="M175" i="1" s="1"/>
  <c r="E167" i="1"/>
  <c r="E171" i="1" s="1"/>
  <c r="E175" i="1" s="1"/>
  <c r="H167" i="1"/>
  <c r="H171" i="1" s="1"/>
  <c r="H175" i="1" s="1"/>
  <c r="Q95" i="1"/>
  <c r="Q152" i="1"/>
  <c r="Q165" i="1" s="1"/>
  <c r="S152" i="1"/>
  <c r="S133" i="1"/>
  <c r="Q133" i="1"/>
  <c r="Q140" i="1" s="1"/>
  <c r="R167" i="1"/>
  <c r="T95" i="1"/>
  <c r="S60" i="1"/>
  <c r="S62" i="1" s="1"/>
  <c r="P167" i="1"/>
  <c r="P171" i="1" s="1"/>
  <c r="P175" i="1" s="1"/>
  <c r="L167" i="1"/>
  <c r="L171" i="1" s="1"/>
  <c r="L175" i="1" s="1"/>
  <c r="R62" i="1"/>
  <c r="S140" i="1" l="1"/>
  <c r="Q167" i="1"/>
  <c r="Q171" i="1" s="1"/>
  <c r="Q175" i="1" s="1"/>
  <c r="S165" i="1"/>
  <c r="S169" i="1"/>
  <c r="R169" i="1"/>
  <c r="T169" i="1" s="1"/>
  <c r="R171" i="1"/>
  <c r="T62" i="1"/>
  <c r="S167" i="1" l="1"/>
  <c r="S171" i="1" s="1"/>
  <c r="T171" i="1"/>
  <c r="T167" i="1"/>
</calcChain>
</file>

<file path=xl/comments1.xml><?xml version="1.0" encoding="utf-8"?>
<comments xmlns="http://schemas.openxmlformats.org/spreadsheetml/2006/main">
  <authors>
    <author>Holly Parks</author>
  </authors>
  <commentList>
    <comment ref="E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F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H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I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J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K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L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M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N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O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  <comment ref="P138" authorId="0" shapeId="0">
      <text>
        <r>
          <rPr>
            <b/>
            <sz val="9"/>
            <color indexed="81"/>
            <rFont val="Tahoma"/>
            <family val="2"/>
          </rPr>
          <t>Holly Parks:</t>
        </r>
        <r>
          <rPr>
            <sz val="9"/>
            <color indexed="81"/>
            <rFont val="Tahoma"/>
            <family val="2"/>
          </rPr>
          <t xml:space="preserve">
(</t>
        </r>
      </text>
    </comment>
  </commentList>
</comments>
</file>

<file path=xl/sharedStrings.xml><?xml version="1.0" encoding="utf-8"?>
<sst xmlns="http://schemas.openxmlformats.org/spreadsheetml/2006/main" count="166" uniqueCount="160">
  <si>
    <t>2020 Statement of Activity  Budget vs. Actual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</si>
  <si>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</si>
  <si>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</si>
  <si>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</si>
  <si>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</si>
  <si>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</si>
  <si>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</si>
  <si>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</si>
  <si>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</si>
  <si>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</si>
  <si>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</si>
  <si>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</si>
  <si>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</si>
  <si>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Jan - Dec</t>
  </si>
  <si>
    <t xml:space="preserve"> $ over Budget </t>
  </si>
  <si>
    <t xml:space="preserve"> % of YTD Budget </t>
  </si>
  <si>
    <t xml:space="preserve"> Annual Budget </t>
  </si>
  <si>
    <t>Pass Through Budget</t>
  </si>
  <si>
    <t>Pass Through Income (Designated Giving)</t>
  </si>
  <si>
    <t>Bishop's Discretionary Fund</t>
  </si>
  <si>
    <t>Building Fund</t>
  </si>
  <si>
    <t>Capital Campaign</t>
  </si>
  <si>
    <t>Capital Campaign Interest Income</t>
  </si>
  <si>
    <t>Choir Fund</t>
  </si>
  <si>
    <t>Columbarium</t>
  </si>
  <si>
    <t>Endowment Funds Earnings</t>
  </si>
  <si>
    <t>Episcopal Relief &amp; Development</t>
  </si>
  <si>
    <t>Memorial Receipts</t>
  </si>
  <si>
    <t>Rector's Discretionary Fund</t>
  </si>
  <si>
    <t>Youth Payments for Mission Trip/Pilgrimage</t>
  </si>
  <si>
    <t>CAP Reimbursement</t>
  </si>
  <si>
    <t>Youth Fundraising for Mission Trip/Pilgrimage</t>
  </si>
  <si>
    <t>Total Pass Thru Giving</t>
  </si>
  <si>
    <t>Pass Through Expenses</t>
  </si>
  <si>
    <t>Bishops Discretionary funds</t>
  </si>
  <si>
    <t>Capital Loan Payments over monthly payment</t>
  </si>
  <si>
    <t>Capital Campaign Expenditures</t>
  </si>
  <si>
    <t>Choir fund</t>
  </si>
  <si>
    <t>Ludtke Scholarship</t>
  </si>
  <si>
    <t xml:space="preserve">Memorial spending </t>
  </si>
  <si>
    <t>Youth Fundraising</t>
  </si>
  <si>
    <t>Youth Mission Trip/Pilgrimage</t>
  </si>
  <si>
    <t>Total Pass Thru Expenses</t>
  </si>
  <si>
    <t>Total Pass Thru Net</t>
  </si>
  <si>
    <t>Operating Budget</t>
  </si>
  <si>
    <t xml:space="preserve">   Income</t>
  </si>
  <si>
    <t>General Offerings</t>
  </si>
  <si>
    <t>General Plate Offerings</t>
  </si>
  <si>
    <t>General Offerings Other</t>
  </si>
  <si>
    <t>Special Holiday Offerings</t>
  </si>
  <si>
    <t>Total General Offerings</t>
  </si>
  <si>
    <t>Misc. Operations Income</t>
  </si>
  <si>
    <t>Fund Raising</t>
  </si>
  <si>
    <t>Baptism</t>
  </si>
  <si>
    <t>Feeding Ministries (Hesed, Trinity &amp; FSD)</t>
  </si>
  <si>
    <t>Flowers</t>
  </si>
  <si>
    <t>Parish Hall Donations</t>
  </si>
  <si>
    <t>Misc. Income Other</t>
  </si>
  <si>
    <t>Total Misc. Income</t>
  </si>
  <si>
    <t>Pledge Income</t>
  </si>
  <si>
    <t xml:space="preserve">Current Year Pledges </t>
  </si>
  <si>
    <t>Prepaid Pledges</t>
  </si>
  <si>
    <t>Previous Year Pledges</t>
  </si>
  <si>
    <t>Total Pledge Income</t>
  </si>
  <si>
    <t>Total Income</t>
  </si>
  <si>
    <t>Expenses</t>
  </si>
  <si>
    <t xml:space="preserve">  All Parish Programs</t>
  </si>
  <si>
    <t>Diocesan Programs</t>
  </si>
  <si>
    <t>Diocesan Convention</t>
  </si>
  <si>
    <t>Clergy Meetings</t>
  </si>
  <si>
    <t>Diocesan Pledge</t>
  </si>
  <si>
    <t>Total Diocesan Programs</t>
  </si>
  <si>
    <t>Worship</t>
  </si>
  <si>
    <t>Altar Guild</t>
  </si>
  <si>
    <t>Choir/Music</t>
  </si>
  <si>
    <t>General Worship Materials</t>
  </si>
  <si>
    <t>Total Worship</t>
  </si>
  <si>
    <t>Parish Programs</t>
  </si>
  <si>
    <t xml:space="preserve"> -   </t>
  </si>
  <si>
    <t>Fundraising</t>
  </si>
  <si>
    <t>Hesed House</t>
  </si>
  <si>
    <t>Free Spaghetti Dinner</t>
  </si>
  <si>
    <t>Trinity Soup Kitchen</t>
  </si>
  <si>
    <t>Hospitality (incl. celebrations, kitchen supp)</t>
  </si>
  <si>
    <t>Fox River Valley Initiative</t>
  </si>
  <si>
    <t>Formation - Youth &amp; Children</t>
  </si>
  <si>
    <t>Formation - Adult</t>
  </si>
  <si>
    <t>New Member Ministry</t>
  </si>
  <si>
    <t>Vestry Expense</t>
  </si>
  <si>
    <t>Prayer Shawl Ministry</t>
  </si>
  <si>
    <t>Stewardship</t>
  </si>
  <si>
    <t>Other Ministries</t>
  </si>
  <si>
    <t>Total Parish Programs</t>
  </si>
  <si>
    <t xml:space="preserve">  Total All Parish Program Expenses</t>
  </si>
  <si>
    <t>Loan principle and Interest</t>
  </si>
  <si>
    <t>Mortgage Interest-2300</t>
  </si>
  <si>
    <t>Mortgage Principle</t>
  </si>
  <si>
    <t>Rectory Loan Interest-6100</t>
  </si>
  <si>
    <t>Rectory Principle</t>
  </si>
  <si>
    <t>Total Loan/Mortgage Payment</t>
  </si>
  <si>
    <t>Operations and Administration</t>
  </si>
  <si>
    <t>Advertising</t>
  </si>
  <si>
    <t>Banking fees</t>
  </si>
  <si>
    <t>Computers and Software</t>
  </si>
  <si>
    <t>Dues &amp; Subscriptions</t>
  </si>
  <si>
    <t>Office Equipment</t>
  </si>
  <si>
    <t>Office Supplies</t>
  </si>
  <si>
    <t>Payroll service</t>
  </si>
  <si>
    <t>Postage</t>
  </si>
  <si>
    <t>Printing</t>
  </si>
  <si>
    <t>Telephone &amp; Internet</t>
  </si>
  <si>
    <t>Vanco fees</t>
  </si>
  <si>
    <t>Website</t>
  </si>
  <si>
    <t>Misc. exp</t>
  </si>
  <si>
    <t>Total Admin</t>
  </si>
  <si>
    <t>Facilities Operations</t>
  </si>
  <si>
    <t>Insurance</t>
  </si>
  <si>
    <t>Yardwork</t>
  </si>
  <si>
    <t>Snow Removal</t>
  </si>
  <si>
    <t>Major building repairs</t>
  </si>
  <si>
    <t>Cleaning Services</t>
  </si>
  <si>
    <t>General Maintenance</t>
  </si>
  <si>
    <t>Fire Alarm monitoring</t>
  </si>
  <si>
    <t>Piano/Organ maintenance</t>
  </si>
  <si>
    <t>Utilities (Gas and Electric)</t>
  </si>
  <si>
    <t>Refuse Collection</t>
  </si>
  <si>
    <t>Water/Sewer</t>
  </si>
  <si>
    <t>Total Facilities Operations</t>
  </si>
  <si>
    <t>Rectory</t>
  </si>
  <si>
    <t>Maintenance</t>
  </si>
  <si>
    <t>Utilities</t>
  </si>
  <si>
    <t>Total Rectory</t>
  </si>
  <si>
    <t>Total Operations &amp; Admin</t>
  </si>
  <si>
    <t>Staff Payroll Expenses</t>
  </si>
  <si>
    <t>Music Director</t>
  </si>
  <si>
    <t>Music Director Continuing Ed</t>
  </si>
  <si>
    <t>Secretary</t>
  </si>
  <si>
    <t>Staff Continuing Ed</t>
  </si>
  <si>
    <t>Staff Pension</t>
  </si>
  <si>
    <t>Staff FICA/Medicare</t>
  </si>
  <si>
    <t>Supply Clergy</t>
  </si>
  <si>
    <t>Supply Music</t>
  </si>
  <si>
    <t>Worker's Comp</t>
  </si>
  <si>
    <t>Total Staff Payroll Expenses</t>
  </si>
  <si>
    <t>Rector Comp/Benefits</t>
  </si>
  <si>
    <t>Continuing Ed</t>
  </si>
  <si>
    <t>Health Insurance</t>
  </si>
  <si>
    <t>H S A Contribution</t>
  </si>
  <si>
    <t>Pension</t>
  </si>
  <si>
    <t>Compensation</t>
  </si>
  <si>
    <t>Utility Compensation</t>
  </si>
  <si>
    <t>Travel allowance</t>
  </si>
  <si>
    <t>Expense allowance</t>
  </si>
  <si>
    <t>Total Rector Comp/Benefits</t>
  </si>
  <si>
    <t>Total All Staff &amp; Rector Payroll Expenses</t>
  </si>
  <si>
    <t>Total Operating Expenses</t>
  </si>
  <si>
    <t>Total Operating Income</t>
  </si>
  <si>
    <t>Total Operating Net Income</t>
  </si>
  <si>
    <t>Total Income Pass Thru + Operations</t>
  </si>
  <si>
    <t>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</si>
</sst>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Protection="1"/>
    <xf numFmtId="0" fontId="0" fillId="0" borderId="0" xfId="0" applyProtection="1"/>
    <xf numFmtId="43" fontId="0" fillId="0" borderId="0" xfId="1" applyFont="1"/>
    <xf numFmtId="43" fontId="0" fillId="0" borderId="0" xfId="1" applyFont="1" applyProtection="1"/>
    <xf numFmtId="43" fontId="0" fillId="0" borderId="0" xfId="1" applyFont="1" applyProtection="1">
      <protection locked="0"/>
    </xf>
    <xf numFmtId="43" fontId="0" fillId="0" borderId="1" xfId="1" applyFont="1" applyBorder="1" applyProtection="1">
      <protection locked="0"/>
    </xf>
    <xf numFmtId="43" fontId="0" fillId="0" borderId="1" xfId="1" applyFont="1" applyBorder="1" applyProtection="1"/>
    <xf numFmtId="43" fontId="2" fillId="0" borderId="0" xfId="1" applyFont="1" applyProtection="1"/>
    <xf numFmtId="43" fontId="2" fillId="0" borderId="2" xfId="1" applyFont="1" applyBorder="1" applyProtection="1"/>
    <xf numFmtId="9" fontId="0" fillId="0" borderId="0" xfId="0" applyNumberFormat="1" applyProtection="1"/>
    <xf numFmtId="43" fontId="0" fillId="0" borderId="0" xfId="1" applyFont="1" applyBorder="1" applyProtection="1"/>
    <xf numFmtId="9" fontId="2" fillId="0" borderId="2" xfId="0" applyNumberFormat="1" applyFont="1" applyBorder="1" applyProtection="1"/>
    <xf numFmtId="43" fontId="2" fillId="0" borderId="0" xfId="1" applyFont="1"/>
    <xf numFmtId="9" fontId="2" fillId="0" borderId="0" xfId="0" applyNumberFormat="1" applyFont="1" applyProtection="1"/>
    <xf numFmtId="0" fontId="0" fillId="0" borderId="0" xfId="0" applyProtection="1">
      <protection locked="0"/>
    </xf>
    <xf numFmtId="43" fontId="0" fillId="0" borderId="0" xfId="0" applyNumberFormat="1" applyProtection="1"/>
    <xf numFmtId="43" fontId="0" fillId="0" borderId="0" xfId="0" applyNumberFormat="1" applyBorder="1" applyProtection="1"/>
    <xf numFmtId="43" fontId="2" fillId="0" borderId="2" xfId="0" applyNumberFormat="1" applyFont="1" applyBorder="1" applyProtection="1"/>
    <xf numFmtId="43" fontId="2" fillId="0" borderId="0" xfId="0" applyNumberFormat="1" applyFont="1"/>
    <xf numFmtId="43" fontId="0" fillId="0" borderId="0" xfId="1" applyFont="1" applyFill="1" applyProtection="1"/>
    <xf numFmtId="43" fontId="0" fillId="0" borderId="0" xfId="1" applyFont="1" applyBorder="1" applyProtection="1">
      <protection locked="0"/>
    </xf>
    <xf numFmtId="43" fontId="0" fillId="0" borderId="0" xfId="1" applyFont="1" applyFill="1" applyBorder="1" applyProtection="1"/>
    <xf numFmtId="43" fontId="2" fillId="0" borderId="0" xfId="0" applyNumberFormat="1" applyFont="1" applyProtection="1"/>
    <xf numFmtId="4" fontId="2" fillId="0" borderId="0" xfId="0" applyNumberFormat="1" applyFont="1" applyProtection="1"/>
    <xf numFmtId="4" fontId="0" fillId="0" borderId="0" xfId="0" applyNumberFormat="1" applyProtection="1"/>
    <xf numFmtId="0" fontId="0" fillId="0" borderId="0" xfId="0" applyBorder="1" applyProtection="1"/>
    <xf numFmtId="4" fontId="2" fillId="0" borderId="2" xfId="0" applyNumberFormat="1" applyFont="1" applyBorder="1" applyProtection="1"/>
    <xf numFmtId="0" fontId="4" fillId="0" borderId="0" xfId="0" applyFont="1" applyProtection="1"/>
    <xf numFmtId="43" fontId="0" fillId="0" borderId="0" xfId="0" applyNumberFormat="1"/>
    <xf numFmtId="43" fontId="1" fillId="0" borderId="1" xfId="1" applyBorder="1" applyProtection="1">
      <protection locked="0"/>
    </xf>
    <xf numFmtId="43" fontId="1" fillId="0" borderId="0" xfId="1" applyBorder="1" applyProtection="1"/>
    <xf numFmtId="4" fontId="1" fillId="0" borderId="0" xfId="0" applyNumberFormat="1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3" fontId="2" fillId="0" borderId="4" xfId="1" applyFont="1" applyBorder="1" applyProtection="1"/>
    <xf numFmtId="9" fontId="2" fillId="0" borderId="4" xfId="0" applyNumberFormat="1" applyFont="1" applyBorder="1" applyProtection="1"/>
    <xf numFmtId="43" fontId="2" fillId="0" borderId="5" xfId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5"/>
  <sheetViews>
    <sheetView tabSelected="1" topLeftCell="A142" workbookViewId="0">
      <selection activeCell="V167" sqref="V167:V169"/>
    </sheetView>
  </sheetViews>
  <sheetFormatPr defaultRowHeight="14.25" x14ac:dyDescent="0.45"/>
  <cols>
    <col min="5" max="16" width="0" hidden="1" customWidth="1"/>
    <col min="17" max="17" width="14" customWidth="1"/>
    <col min="18" max="18" width="12.86328125" bestFit="1" customWidth="1"/>
    <col min="19" max="19" width="11.59765625" customWidth="1"/>
  </cols>
  <sheetData>
    <row r="1" spans="1:22" ht="18" x14ac:dyDescent="0.55000000000000004">
      <c r="A1" s="1" t="s">
        <v>0</v>
      </c>
      <c r="B1" s="1"/>
      <c r="Q1" s="2">
        <v>44166</v>
      </c>
    </row>
    <row r="2" spans="1:22" ht="28.5" x14ac:dyDescent="0.45">
      <c r="A2" s="3"/>
      <c r="B2" s="3"/>
      <c r="C2" s="3"/>
      <c r="D2" s="3"/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3" t="s">
        <v>13</v>
      </c>
      <c r="R2" s="3" t="s">
        <v>159</v>
      </c>
      <c r="S2" s="3" t="s">
        <v>14</v>
      </c>
      <c r="T2" s="5" t="s">
        <v>15</v>
      </c>
      <c r="U2" s="3" t="s">
        <v>16</v>
      </c>
      <c r="V2" s="6"/>
    </row>
    <row r="3" spans="1:22" x14ac:dyDescent="0.45">
      <c r="A3" s="7" t="s">
        <v>17</v>
      </c>
      <c r="B3" s="8"/>
      <c r="C3" s="8"/>
      <c r="D3" s="8"/>
      <c r="Q3" s="8"/>
      <c r="R3" s="8"/>
      <c r="S3" s="8"/>
      <c r="T3" s="8"/>
      <c r="U3" s="8"/>
    </row>
    <row r="4" spans="1:22" x14ac:dyDescent="0.45">
      <c r="A4" s="7" t="s">
        <v>18</v>
      </c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8"/>
      <c r="S4" s="8"/>
      <c r="T4" s="8"/>
      <c r="U4" s="8"/>
    </row>
    <row r="5" spans="1:22" x14ac:dyDescent="0.45">
      <c r="A5" s="7"/>
      <c r="B5" s="8" t="s">
        <v>19</v>
      </c>
      <c r="C5" s="8"/>
      <c r="D5" s="8"/>
      <c r="E5" s="11">
        <v>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0">
        <f>SUM(E5:P5)</f>
        <v>0</v>
      </c>
      <c r="R5" s="8"/>
      <c r="S5" s="8"/>
      <c r="T5" s="8"/>
      <c r="U5" s="8"/>
    </row>
    <row r="6" spans="1:22" x14ac:dyDescent="0.45">
      <c r="A6" s="8"/>
      <c r="B6" s="8" t="s">
        <v>20</v>
      </c>
      <c r="C6" s="8"/>
      <c r="D6" s="8"/>
      <c r="E6" s="11">
        <v>106</v>
      </c>
      <c r="F6" s="11"/>
      <c r="G6" s="11">
        <v>133</v>
      </c>
      <c r="H6" s="11">
        <v>100</v>
      </c>
      <c r="I6" s="11"/>
      <c r="J6" s="11"/>
      <c r="K6" s="11"/>
      <c r="L6" s="11"/>
      <c r="M6" s="11"/>
      <c r="N6" s="11"/>
      <c r="O6" s="11"/>
      <c r="P6" s="11"/>
      <c r="Q6" s="10">
        <v>339</v>
      </c>
      <c r="R6" s="8"/>
      <c r="S6" s="8"/>
      <c r="T6" s="8"/>
      <c r="U6" s="8"/>
    </row>
    <row r="7" spans="1:22" x14ac:dyDescent="0.45">
      <c r="A7" s="8"/>
      <c r="B7" s="8" t="s">
        <v>21</v>
      </c>
      <c r="C7" s="8"/>
      <c r="D7" s="8"/>
      <c r="E7" s="11">
        <v>1000</v>
      </c>
      <c r="F7" s="11"/>
      <c r="G7" s="11"/>
      <c r="H7" s="11"/>
      <c r="I7" s="11"/>
      <c r="J7" s="11"/>
      <c r="K7" s="11"/>
      <c r="L7" s="11"/>
      <c r="M7" s="11">
        <v>8191.26</v>
      </c>
      <c r="N7" s="11">
        <v>27500</v>
      </c>
      <c r="O7" s="11">
        <v>6000</v>
      </c>
      <c r="P7" s="11"/>
      <c r="Q7" s="10">
        <v>42691.26</v>
      </c>
      <c r="R7" s="8"/>
      <c r="S7" s="8"/>
      <c r="T7" s="8"/>
      <c r="U7" s="8"/>
    </row>
    <row r="8" spans="1:22" x14ac:dyDescent="0.45">
      <c r="A8" s="8"/>
      <c r="B8" s="8" t="s">
        <v>22</v>
      </c>
      <c r="C8" s="8"/>
      <c r="D8" s="8"/>
      <c r="E8" s="11"/>
      <c r="F8" s="11"/>
      <c r="G8" s="11"/>
      <c r="H8" s="11"/>
      <c r="I8" s="11"/>
      <c r="J8" s="11">
        <v>0.01</v>
      </c>
      <c r="K8" s="11">
        <v>0.04</v>
      </c>
      <c r="L8" s="11">
        <v>0.04</v>
      </c>
      <c r="M8" s="11">
        <v>0.04</v>
      </c>
      <c r="N8" s="11">
        <v>0.28999999999999998</v>
      </c>
      <c r="O8" s="11">
        <v>0.97</v>
      </c>
      <c r="P8" s="11">
        <v>1.19</v>
      </c>
      <c r="Q8" s="10">
        <v>2.58</v>
      </c>
      <c r="R8" s="8"/>
      <c r="S8" s="8"/>
      <c r="T8" s="8"/>
      <c r="U8" s="8"/>
    </row>
    <row r="9" spans="1:22" x14ac:dyDescent="0.45">
      <c r="A9" s="8"/>
      <c r="B9" s="8" t="s">
        <v>23</v>
      </c>
      <c r="C9" s="8"/>
      <c r="D9" s="8"/>
      <c r="E9" s="11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ref="Q9:Q12" si="0">SUM(E9:P9)</f>
        <v>0</v>
      </c>
      <c r="R9" s="8"/>
      <c r="S9" s="8"/>
      <c r="T9" s="8"/>
      <c r="U9" s="8"/>
    </row>
    <row r="10" spans="1:22" x14ac:dyDescent="0.45">
      <c r="A10" s="8"/>
      <c r="B10" s="8" t="s">
        <v>24</v>
      </c>
      <c r="C10" s="8"/>
      <c r="D10" s="8"/>
      <c r="E10" s="11">
        <v>0</v>
      </c>
      <c r="F10" s="11"/>
      <c r="G10" s="11"/>
      <c r="H10" s="11"/>
      <c r="I10" s="11"/>
      <c r="J10" s="11"/>
      <c r="K10" s="11"/>
      <c r="L10" s="11">
        <v>2960</v>
      </c>
      <c r="M10" s="11">
        <v>1220</v>
      </c>
      <c r="N10" s="11"/>
      <c r="O10" s="11"/>
      <c r="P10" s="11">
        <v>500</v>
      </c>
      <c r="Q10" s="10">
        <v>4680</v>
      </c>
      <c r="R10" s="8"/>
      <c r="S10" s="8"/>
      <c r="T10" s="8"/>
      <c r="U10" s="8"/>
    </row>
    <row r="11" spans="1:22" x14ac:dyDescent="0.45">
      <c r="A11" s="8"/>
      <c r="B11" s="8" t="s">
        <v>25</v>
      </c>
      <c r="C11" s="8"/>
      <c r="D11" s="8"/>
      <c r="E11" s="11">
        <v>999.34</v>
      </c>
      <c r="F11" s="11"/>
      <c r="G11" s="11"/>
      <c r="H11" s="11"/>
      <c r="I11" s="11"/>
      <c r="J11" s="11"/>
      <c r="K11" s="11">
        <v>3406.91</v>
      </c>
      <c r="L11" s="11"/>
      <c r="M11" s="11"/>
      <c r="N11" s="11">
        <v>6653.88</v>
      </c>
      <c r="O11" s="11"/>
      <c r="P11" s="11"/>
      <c r="Q11" s="10">
        <v>11060.13</v>
      </c>
      <c r="R11" s="8"/>
      <c r="S11" s="8"/>
      <c r="T11" s="8"/>
      <c r="U11" s="8"/>
    </row>
    <row r="12" spans="1:22" x14ac:dyDescent="0.45">
      <c r="A12" s="8"/>
      <c r="B12" s="8" t="s">
        <v>26</v>
      </c>
      <c r="C12" s="8"/>
      <c r="D12" s="8"/>
      <c r="E12" s="11"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0</v>
      </c>
      <c r="R12" s="8"/>
      <c r="S12" s="8"/>
      <c r="T12" s="8"/>
      <c r="U12" s="8"/>
    </row>
    <row r="13" spans="1:22" x14ac:dyDescent="0.45">
      <c r="A13" s="8"/>
      <c r="B13" s="8" t="s">
        <v>27</v>
      </c>
      <c r="C13" s="8"/>
      <c r="D13" s="8"/>
      <c r="E13" s="11">
        <v>300</v>
      </c>
      <c r="F13" s="11"/>
      <c r="G13" s="11">
        <v>150</v>
      </c>
      <c r="H13" s="11"/>
      <c r="I13" s="11">
        <v>1500</v>
      </c>
      <c r="J13" s="11">
        <v>250</v>
      </c>
      <c r="K13" s="11"/>
      <c r="L13" s="11"/>
      <c r="M13" s="11"/>
      <c r="N13" s="11"/>
      <c r="O13" s="11"/>
      <c r="P13" s="11"/>
      <c r="Q13" s="10">
        <v>2200</v>
      </c>
      <c r="R13" s="8"/>
      <c r="S13" s="8"/>
      <c r="T13" s="8"/>
      <c r="U13" s="8"/>
    </row>
    <row r="14" spans="1:22" x14ac:dyDescent="0.45">
      <c r="A14" s="8"/>
      <c r="B14" s="8" t="s">
        <v>28</v>
      </c>
      <c r="C14" s="8"/>
      <c r="D14" s="8"/>
      <c r="E14" s="11">
        <v>121</v>
      </c>
      <c r="F14" s="11">
        <v>95</v>
      </c>
      <c r="G14" s="11">
        <v>20</v>
      </c>
      <c r="H14" s="11">
        <v>350</v>
      </c>
      <c r="I14" s="11">
        <v>840</v>
      </c>
      <c r="J14" s="11">
        <v>195</v>
      </c>
      <c r="K14" s="11">
        <v>50</v>
      </c>
      <c r="L14" s="11"/>
      <c r="M14" s="11">
        <v>2625</v>
      </c>
      <c r="N14" s="11">
        <v>600</v>
      </c>
      <c r="O14" s="11">
        <v>50</v>
      </c>
      <c r="P14" s="11">
        <v>150</v>
      </c>
      <c r="Q14" s="10">
        <v>5096</v>
      </c>
      <c r="R14" s="8"/>
      <c r="S14" s="8"/>
      <c r="T14" s="8"/>
      <c r="U14" s="8"/>
    </row>
    <row r="15" spans="1:22" x14ac:dyDescent="0.45">
      <c r="A15" s="8"/>
      <c r="B15" s="8" t="s">
        <v>29</v>
      </c>
      <c r="C15" s="8"/>
      <c r="D15" s="8"/>
      <c r="E15" s="11">
        <v>0</v>
      </c>
      <c r="F15" s="11">
        <v>250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v>250</v>
      </c>
      <c r="R15" s="8"/>
      <c r="S15" s="8"/>
      <c r="T15" s="8"/>
      <c r="U15" s="8"/>
    </row>
    <row r="16" spans="1:22" x14ac:dyDescent="0.45">
      <c r="A16" s="8"/>
      <c r="B16" s="8" t="s">
        <v>30</v>
      </c>
      <c r="C16" s="8"/>
      <c r="D16" s="8"/>
      <c r="E16" s="11"/>
      <c r="F16" s="11"/>
      <c r="G16" s="11"/>
      <c r="H16" s="11"/>
      <c r="I16" s="11"/>
      <c r="J16" s="11">
        <v>350</v>
      </c>
      <c r="K16" s="11"/>
      <c r="L16" s="11"/>
      <c r="M16" s="11"/>
      <c r="N16" s="11"/>
      <c r="O16" s="11"/>
      <c r="P16" s="11"/>
      <c r="Q16" s="10">
        <v>350</v>
      </c>
      <c r="R16" s="8"/>
      <c r="S16" s="8"/>
      <c r="T16" s="8"/>
      <c r="U16" s="8"/>
    </row>
    <row r="17" spans="1:22" x14ac:dyDescent="0.45">
      <c r="A17" s="8"/>
      <c r="B17" s="8" t="s">
        <v>31</v>
      </c>
      <c r="C17" s="8"/>
      <c r="D17" s="8"/>
      <c r="E17" s="12">
        <v>0</v>
      </c>
      <c r="F17" s="12"/>
      <c r="G17" s="12"/>
      <c r="H17" s="12"/>
      <c r="I17" s="12">
        <v>86.35</v>
      </c>
      <c r="J17" s="12"/>
      <c r="K17" s="12"/>
      <c r="L17" s="12"/>
      <c r="M17" s="12"/>
      <c r="N17" s="12"/>
      <c r="O17" s="12"/>
      <c r="P17" s="12"/>
      <c r="Q17" s="13">
        <v>86.35</v>
      </c>
      <c r="R17" s="8"/>
      <c r="S17" s="8"/>
      <c r="T17" s="8"/>
      <c r="U17" s="8"/>
    </row>
    <row r="18" spans="1:22" x14ac:dyDescent="0.45">
      <c r="A18" s="7" t="s">
        <v>32</v>
      </c>
      <c r="B18" s="7"/>
      <c r="C18" s="7"/>
      <c r="D18" s="7"/>
      <c r="E18" s="14">
        <f t="shared" ref="E18:Q18" si="1">SUM(E5:E17)</f>
        <v>2526.34</v>
      </c>
      <c r="F18" s="14">
        <f t="shared" si="1"/>
        <v>345</v>
      </c>
      <c r="G18" s="14">
        <f t="shared" si="1"/>
        <v>303</v>
      </c>
      <c r="H18" s="14">
        <f t="shared" si="1"/>
        <v>450</v>
      </c>
      <c r="I18" s="14">
        <f t="shared" si="1"/>
        <v>2426.35</v>
      </c>
      <c r="J18" s="14">
        <f t="shared" si="1"/>
        <v>795.01</v>
      </c>
      <c r="K18" s="14">
        <f t="shared" si="1"/>
        <v>3456.95</v>
      </c>
      <c r="L18" s="14">
        <f t="shared" si="1"/>
        <v>2960.04</v>
      </c>
      <c r="M18" s="14">
        <f t="shared" si="1"/>
        <v>12036.3</v>
      </c>
      <c r="N18" s="14">
        <f t="shared" si="1"/>
        <v>34754.17</v>
      </c>
      <c r="O18" s="14">
        <f t="shared" si="1"/>
        <v>6050.97</v>
      </c>
      <c r="P18" s="14">
        <f t="shared" si="1"/>
        <v>651.19000000000005</v>
      </c>
      <c r="Q18" s="14">
        <f t="shared" si="1"/>
        <v>66755.320000000007</v>
      </c>
      <c r="R18" s="7"/>
      <c r="S18" s="7"/>
      <c r="T18" s="7"/>
      <c r="U18" s="7"/>
      <c r="V18" s="3"/>
    </row>
    <row r="19" spans="1:22" x14ac:dyDescent="0.45">
      <c r="A19" s="8"/>
      <c r="B19" s="8"/>
      <c r="C19" s="8"/>
      <c r="D19" s="8"/>
      <c r="Q19" s="8"/>
      <c r="R19" s="8"/>
      <c r="S19" s="8"/>
      <c r="T19" s="8"/>
      <c r="U19" s="8"/>
    </row>
    <row r="20" spans="1:22" x14ac:dyDescent="0.45">
      <c r="A20" s="8"/>
      <c r="B20" s="8"/>
      <c r="C20" s="8"/>
      <c r="D20" s="8"/>
      <c r="Q20" s="8"/>
      <c r="R20" s="8"/>
      <c r="S20" s="8"/>
      <c r="T20" s="8"/>
      <c r="U20" s="8"/>
    </row>
    <row r="21" spans="1:22" x14ac:dyDescent="0.45">
      <c r="A21" s="7" t="s">
        <v>33</v>
      </c>
      <c r="B21" s="8"/>
      <c r="C21" s="8"/>
      <c r="D21" s="8"/>
      <c r="Q21" s="8"/>
      <c r="R21" s="8"/>
      <c r="S21" s="8"/>
      <c r="T21" s="8"/>
      <c r="U21" s="8"/>
    </row>
    <row r="22" spans="1:22" x14ac:dyDescent="0.45">
      <c r="A22" s="8"/>
      <c r="B22" s="8" t="s">
        <v>34</v>
      </c>
      <c r="C22" s="8"/>
      <c r="D22" s="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>
        <v>20</v>
      </c>
      <c r="Q22" s="10">
        <v>20</v>
      </c>
      <c r="R22" s="8"/>
      <c r="S22" s="8"/>
      <c r="T22" s="8"/>
      <c r="U22" s="8"/>
    </row>
    <row r="23" spans="1:22" x14ac:dyDescent="0.45">
      <c r="A23" s="8"/>
      <c r="B23" s="8" t="s">
        <v>35</v>
      </c>
      <c r="C23" s="8"/>
      <c r="D23" s="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ref="Q23:Q31" si="2">SUM(E23:P23)</f>
        <v>0</v>
      </c>
      <c r="R23" s="8"/>
      <c r="S23" s="8"/>
      <c r="T23" s="8"/>
      <c r="U23" s="8"/>
    </row>
    <row r="24" spans="1:22" x14ac:dyDescent="0.45">
      <c r="A24" s="8"/>
      <c r="B24" s="8" t="s">
        <v>36</v>
      </c>
      <c r="C24" s="8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>
        <v>8000</v>
      </c>
      <c r="O24" s="11"/>
      <c r="P24" s="11">
        <v>540</v>
      </c>
      <c r="Q24" s="10">
        <v>8540</v>
      </c>
      <c r="R24" s="8"/>
      <c r="S24" s="8"/>
      <c r="T24" s="8"/>
      <c r="U24" s="8"/>
    </row>
    <row r="25" spans="1:22" x14ac:dyDescent="0.45">
      <c r="A25" s="8"/>
      <c r="B25" s="8" t="s">
        <v>37</v>
      </c>
      <c r="C25" s="8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0">
        <f t="shared" si="2"/>
        <v>0</v>
      </c>
      <c r="R25" s="8"/>
      <c r="S25" s="8"/>
      <c r="T25" s="8"/>
      <c r="U25" s="8"/>
    </row>
    <row r="26" spans="1:22" x14ac:dyDescent="0.45">
      <c r="A26" s="8"/>
      <c r="B26" s="8" t="s">
        <v>24</v>
      </c>
      <c r="C26" s="8"/>
      <c r="D26" s="8"/>
      <c r="E26" s="11"/>
      <c r="F26" s="11"/>
      <c r="G26" s="11">
        <v>870</v>
      </c>
      <c r="H26" s="11"/>
      <c r="I26" s="11"/>
      <c r="J26" s="11"/>
      <c r="K26" s="11"/>
      <c r="L26" s="11">
        <v>1920</v>
      </c>
      <c r="M26" s="11">
        <v>150</v>
      </c>
      <c r="N26" s="11"/>
      <c r="O26" s="11"/>
      <c r="P26" s="11"/>
      <c r="Q26" s="10">
        <v>2940</v>
      </c>
      <c r="R26" s="8"/>
      <c r="S26" s="8"/>
      <c r="T26" s="8"/>
      <c r="U26" s="8"/>
    </row>
    <row r="27" spans="1:22" x14ac:dyDescent="0.45">
      <c r="A27" s="8"/>
      <c r="B27" s="8" t="s">
        <v>26</v>
      </c>
      <c r="C27" s="8"/>
      <c r="D27" s="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0">
        <f t="shared" si="2"/>
        <v>0</v>
      </c>
      <c r="R27" s="8"/>
      <c r="S27" s="8"/>
      <c r="T27" s="8"/>
      <c r="U27" s="8"/>
    </row>
    <row r="28" spans="1:22" x14ac:dyDescent="0.45">
      <c r="A28" s="8"/>
      <c r="B28" s="8" t="s">
        <v>38</v>
      </c>
      <c r="C28" s="8"/>
      <c r="D28" s="8"/>
      <c r="E28" s="11"/>
      <c r="F28" s="11"/>
      <c r="G28" s="11"/>
      <c r="H28" s="11"/>
      <c r="I28" s="11"/>
      <c r="J28" s="11"/>
      <c r="K28" s="11"/>
      <c r="L28" s="11">
        <v>1500</v>
      </c>
      <c r="M28" s="11"/>
      <c r="N28" s="11"/>
      <c r="O28" s="11"/>
      <c r="P28" s="11"/>
      <c r="Q28" s="10">
        <v>2000</v>
      </c>
      <c r="R28" s="8"/>
      <c r="S28" s="8"/>
      <c r="T28" s="8"/>
      <c r="U28" s="8"/>
    </row>
    <row r="29" spans="1:22" x14ac:dyDescent="0.45">
      <c r="A29" s="8"/>
      <c r="B29" s="8" t="s">
        <v>39</v>
      </c>
      <c r="C29" s="8"/>
      <c r="D29" s="8"/>
      <c r="E29" s="11"/>
      <c r="F29" s="11">
        <v>774.21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0">
        <v>774.21</v>
      </c>
      <c r="R29" s="8"/>
      <c r="S29" s="8"/>
      <c r="T29" s="8"/>
      <c r="U29" s="8"/>
    </row>
    <row r="30" spans="1:22" x14ac:dyDescent="0.45">
      <c r="A30" s="8"/>
      <c r="B30" s="8" t="s">
        <v>28</v>
      </c>
      <c r="C30" s="8"/>
      <c r="D30" s="8"/>
      <c r="E30" s="11">
        <v>1900</v>
      </c>
      <c r="F30" s="11"/>
      <c r="G30" s="11"/>
      <c r="H30" s="11"/>
      <c r="I30" s="11"/>
      <c r="J30" s="11">
        <v>1490</v>
      </c>
      <c r="K30" s="11"/>
      <c r="L30" s="11"/>
      <c r="M30" s="11"/>
      <c r="N30" s="11">
        <v>2780</v>
      </c>
      <c r="O30" s="11"/>
      <c r="P30" s="11">
        <v>745.94</v>
      </c>
      <c r="Q30" s="10">
        <v>6915.94</v>
      </c>
      <c r="R30" s="8"/>
      <c r="S30" s="8"/>
      <c r="T30" s="8"/>
      <c r="U30" s="8"/>
    </row>
    <row r="31" spans="1:22" x14ac:dyDescent="0.45">
      <c r="A31" s="8"/>
      <c r="B31" s="8" t="s">
        <v>40</v>
      </c>
      <c r="C31" s="8"/>
      <c r="D31" s="8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0">
        <f t="shared" si="2"/>
        <v>0</v>
      </c>
      <c r="R31" s="8"/>
      <c r="S31" s="8"/>
      <c r="T31" s="8"/>
      <c r="U31" s="8"/>
    </row>
    <row r="32" spans="1:22" x14ac:dyDescent="0.45">
      <c r="A32" s="8"/>
      <c r="B32" s="8" t="s">
        <v>41</v>
      </c>
      <c r="C32" s="8"/>
      <c r="D32" s="8"/>
      <c r="E32" s="12">
        <v>350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0">
        <v>350</v>
      </c>
      <c r="R32" s="8"/>
      <c r="S32" s="8"/>
      <c r="T32" s="8"/>
      <c r="U32" s="8"/>
    </row>
    <row r="33" spans="1:22" x14ac:dyDescent="0.45">
      <c r="A33" s="7" t="s">
        <v>42</v>
      </c>
      <c r="B33" s="7"/>
      <c r="C33" s="7"/>
      <c r="D33" s="7"/>
      <c r="E33" s="14">
        <f t="shared" ref="E33:Q33" si="3">SUM(E22:E32)</f>
        <v>2250</v>
      </c>
      <c r="F33" s="14">
        <f t="shared" si="3"/>
        <v>774.21</v>
      </c>
      <c r="G33" s="14">
        <f t="shared" si="3"/>
        <v>870</v>
      </c>
      <c r="H33" s="14">
        <f t="shared" si="3"/>
        <v>0</v>
      </c>
      <c r="I33" s="14">
        <f t="shared" si="3"/>
        <v>0</v>
      </c>
      <c r="J33" s="14">
        <f t="shared" si="3"/>
        <v>1490</v>
      </c>
      <c r="K33" s="14">
        <f t="shared" si="3"/>
        <v>0</v>
      </c>
      <c r="L33" s="14">
        <f t="shared" si="3"/>
        <v>3420</v>
      </c>
      <c r="M33" s="14">
        <f t="shared" si="3"/>
        <v>150</v>
      </c>
      <c r="N33" s="14">
        <f t="shared" si="3"/>
        <v>10780</v>
      </c>
      <c r="O33" s="14">
        <f t="shared" si="3"/>
        <v>0</v>
      </c>
      <c r="P33" s="14">
        <f t="shared" si="3"/>
        <v>1305.94</v>
      </c>
      <c r="Q33" s="15">
        <f t="shared" si="3"/>
        <v>21540.149999999998</v>
      </c>
      <c r="R33" s="7"/>
      <c r="S33" s="7"/>
      <c r="T33" s="7"/>
      <c r="U33" s="7"/>
      <c r="V33" s="3"/>
    </row>
    <row r="34" spans="1:22" x14ac:dyDescent="0.4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2" x14ac:dyDescent="0.45">
      <c r="A35" s="7" t="s">
        <v>43</v>
      </c>
      <c r="B35" s="7"/>
      <c r="C35" s="7"/>
      <c r="D35" s="7"/>
      <c r="E35" s="14">
        <f t="shared" ref="E35:Q35" si="4">E18-E33</f>
        <v>276.34000000000015</v>
      </c>
      <c r="F35" s="14">
        <f t="shared" si="4"/>
        <v>-429.21000000000004</v>
      </c>
      <c r="G35" s="14">
        <f t="shared" si="4"/>
        <v>-567</v>
      </c>
      <c r="H35" s="14">
        <f t="shared" si="4"/>
        <v>450</v>
      </c>
      <c r="I35" s="14">
        <f t="shared" si="4"/>
        <v>2426.35</v>
      </c>
      <c r="J35" s="14">
        <f t="shared" si="4"/>
        <v>-694.99</v>
      </c>
      <c r="K35" s="14">
        <f t="shared" si="4"/>
        <v>3456.95</v>
      </c>
      <c r="L35" s="14">
        <f t="shared" si="4"/>
        <v>-459.96000000000004</v>
      </c>
      <c r="M35" s="14">
        <f t="shared" si="4"/>
        <v>11886.3</v>
      </c>
      <c r="N35" s="14">
        <f t="shared" si="4"/>
        <v>23974.17</v>
      </c>
      <c r="O35" s="14">
        <f t="shared" si="4"/>
        <v>6050.97</v>
      </c>
      <c r="P35" s="14">
        <f t="shared" si="4"/>
        <v>-654.75</v>
      </c>
      <c r="Q35" s="14">
        <f t="shared" si="4"/>
        <v>45215.170000000013</v>
      </c>
      <c r="R35" s="7"/>
      <c r="S35" s="7"/>
      <c r="T35" s="7"/>
      <c r="U35" s="7"/>
      <c r="V35" s="3"/>
    </row>
    <row r="36" spans="1:22" x14ac:dyDescent="0.45">
      <c r="A36" s="8"/>
      <c r="B36" s="8"/>
      <c r="C36" s="8"/>
      <c r="D36" s="8"/>
      <c r="Q36" s="8"/>
      <c r="R36" s="8"/>
      <c r="S36" s="8"/>
      <c r="T36" s="8"/>
      <c r="U36" s="8"/>
    </row>
    <row r="37" spans="1:22" x14ac:dyDescent="0.45">
      <c r="A37" s="7" t="s">
        <v>44</v>
      </c>
      <c r="B37" s="8"/>
      <c r="C37" s="8"/>
      <c r="D37" s="8"/>
      <c r="Q37" s="8"/>
      <c r="R37" s="8"/>
      <c r="S37" s="8"/>
      <c r="T37" s="8"/>
      <c r="U37" s="8"/>
    </row>
    <row r="38" spans="1:22" x14ac:dyDescent="0.45">
      <c r="A38" s="8"/>
      <c r="B38" s="8"/>
      <c r="C38" s="8"/>
      <c r="D38" s="8"/>
      <c r="Q38" s="8"/>
      <c r="R38" s="8"/>
      <c r="S38" s="8"/>
      <c r="T38" s="8"/>
      <c r="U38" s="8"/>
    </row>
    <row r="39" spans="1:22" x14ac:dyDescent="0.45">
      <c r="A39" s="7" t="s">
        <v>45</v>
      </c>
      <c r="B39" s="8"/>
      <c r="C39" s="8"/>
      <c r="D39" s="8"/>
      <c r="Q39" s="8"/>
      <c r="R39" s="8"/>
      <c r="S39" s="8"/>
      <c r="T39" s="8"/>
      <c r="U39" s="8"/>
    </row>
    <row r="40" spans="1:22" x14ac:dyDescent="0.45">
      <c r="A40" s="8"/>
      <c r="B40" s="7" t="s">
        <v>46</v>
      </c>
      <c r="C40" s="8"/>
      <c r="D40" s="8"/>
      <c r="Q40" s="8"/>
      <c r="R40" s="8"/>
      <c r="S40" s="8"/>
      <c r="T40" s="8"/>
      <c r="U40" s="8"/>
    </row>
    <row r="41" spans="1:22" x14ac:dyDescent="0.45">
      <c r="A41" s="8"/>
      <c r="B41" s="8"/>
      <c r="C41" s="8" t="s">
        <v>47</v>
      </c>
      <c r="D41" s="8"/>
      <c r="E41" s="11">
        <v>183</v>
      </c>
      <c r="F41" s="11">
        <v>224</v>
      </c>
      <c r="G41" s="11">
        <v>40</v>
      </c>
      <c r="H41" s="11">
        <v>338</v>
      </c>
      <c r="I41" s="11">
        <v>35</v>
      </c>
      <c r="J41" s="11">
        <v>280</v>
      </c>
      <c r="K41" s="11"/>
      <c r="L41" s="11">
        <v>20</v>
      </c>
      <c r="M41" s="11"/>
      <c r="N41" s="11">
        <v>383</v>
      </c>
      <c r="O41" s="11">
        <v>400</v>
      </c>
      <c r="P41" s="11">
        <v>2250</v>
      </c>
      <c r="Q41" s="10">
        <v>4153</v>
      </c>
      <c r="R41" s="10">
        <v>2000</v>
      </c>
      <c r="S41" s="10">
        <f>Q41-R41</f>
        <v>2153</v>
      </c>
      <c r="T41" s="16">
        <f t="shared" ref="T41:T44" si="5">IF(R41,Q41/R41,0)</f>
        <v>2.0764999999999998</v>
      </c>
      <c r="U41" s="10"/>
    </row>
    <row r="42" spans="1:22" x14ac:dyDescent="0.45">
      <c r="A42" s="8"/>
      <c r="B42" s="8"/>
      <c r="C42" s="8" t="s">
        <v>48</v>
      </c>
      <c r="D42" s="8"/>
      <c r="E42" s="11"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0">
        <f t="shared" ref="Q42" si="6">SUM(E42:P42)</f>
        <v>0</v>
      </c>
      <c r="R42" s="10">
        <f>(U42)*($W$2/12)</f>
        <v>0</v>
      </c>
      <c r="S42" s="10">
        <f>Q42-R42</f>
        <v>0</v>
      </c>
      <c r="T42" s="16">
        <f>IF(R42,Q42/R42,0)</f>
        <v>0</v>
      </c>
      <c r="U42" s="10"/>
    </row>
    <row r="43" spans="1:22" x14ac:dyDescent="0.45">
      <c r="A43" s="8"/>
      <c r="B43" s="8"/>
      <c r="C43" s="8" t="s">
        <v>49</v>
      </c>
      <c r="D43" s="8"/>
      <c r="E43" s="12">
        <v>16500</v>
      </c>
      <c r="F43" s="12"/>
      <c r="G43" s="12"/>
      <c r="H43" s="12">
        <v>100</v>
      </c>
      <c r="I43" s="12">
        <v>25</v>
      </c>
      <c r="J43" s="12"/>
      <c r="K43" s="12"/>
      <c r="L43" s="12"/>
      <c r="M43" s="12"/>
      <c r="N43" s="12"/>
      <c r="O43" s="12"/>
      <c r="P43" s="12">
        <v>9300</v>
      </c>
      <c r="Q43" s="10">
        <v>25925</v>
      </c>
      <c r="R43" s="10">
        <v>1500</v>
      </c>
      <c r="S43" s="10">
        <f>Q43-R43</f>
        <v>24425</v>
      </c>
      <c r="T43" s="16">
        <f t="shared" si="5"/>
        <v>17.283333333333335</v>
      </c>
      <c r="U43" s="17"/>
    </row>
    <row r="44" spans="1:22" x14ac:dyDescent="0.45">
      <c r="A44" s="7"/>
      <c r="B44" s="7" t="s">
        <v>50</v>
      </c>
      <c r="C44" s="7"/>
      <c r="D44" s="7"/>
      <c r="E44" s="14">
        <f t="shared" ref="E44:P44" si="7">SUM(E41:E43)</f>
        <v>16683</v>
      </c>
      <c r="F44" s="14">
        <f t="shared" si="7"/>
        <v>224</v>
      </c>
      <c r="G44" s="14">
        <f t="shared" si="7"/>
        <v>40</v>
      </c>
      <c r="H44" s="14">
        <f t="shared" si="7"/>
        <v>438</v>
      </c>
      <c r="I44" s="14">
        <f t="shared" si="7"/>
        <v>60</v>
      </c>
      <c r="J44" s="14">
        <f t="shared" si="7"/>
        <v>280</v>
      </c>
      <c r="K44" s="14">
        <f t="shared" si="7"/>
        <v>0</v>
      </c>
      <c r="L44" s="14">
        <f t="shared" si="7"/>
        <v>20</v>
      </c>
      <c r="M44" s="14">
        <f t="shared" si="7"/>
        <v>0</v>
      </c>
      <c r="N44" s="14">
        <f t="shared" si="7"/>
        <v>383</v>
      </c>
      <c r="O44" s="14">
        <f t="shared" si="7"/>
        <v>400</v>
      </c>
      <c r="P44" s="14">
        <f t="shared" si="7"/>
        <v>11550</v>
      </c>
      <c r="Q44" s="15">
        <f t="shared" ref="Q44:U44" si="8">SUM(Q41:Q43)</f>
        <v>30078</v>
      </c>
      <c r="R44" s="15">
        <f t="shared" si="8"/>
        <v>3500</v>
      </c>
      <c r="S44" s="15">
        <f t="shared" si="8"/>
        <v>26578</v>
      </c>
      <c r="T44" s="18">
        <f t="shared" si="5"/>
        <v>8.5937142857142863</v>
      </c>
      <c r="U44" s="15">
        <f t="shared" si="8"/>
        <v>0</v>
      </c>
      <c r="V44" s="19"/>
    </row>
    <row r="45" spans="1:22" x14ac:dyDescent="0.45">
      <c r="A45" s="8"/>
      <c r="B45" s="8"/>
      <c r="C45" s="8"/>
      <c r="D45" s="8"/>
      <c r="Q45" s="8"/>
      <c r="R45" s="8"/>
      <c r="S45" s="8"/>
      <c r="T45" s="16"/>
      <c r="U45" s="8"/>
    </row>
    <row r="46" spans="1:22" x14ac:dyDescent="0.45">
      <c r="A46" s="8"/>
      <c r="B46" s="7" t="s">
        <v>51</v>
      </c>
      <c r="C46" s="8"/>
      <c r="D46" s="8"/>
      <c r="Q46" s="8"/>
      <c r="R46" s="8"/>
      <c r="S46" s="8"/>
      <c r="T46" s="16"/>
      <c r="U46" s="8"/>
    </row>
    <row r="47" spans="1:22" x14ac:dyDescent="0.45">
      <c r="A47" s="8"/>
      <c r="B47" s="8"/>
      <c r="C47" s="8" t="s">
        <v>52</v>
      </c>
      <c r="D47" s="8"/>
      <c r="E47" s="11">
        <v>60</v>
      </c>
      <c r="F47" s="11">
        <v>244.04</v>
      </c>
      <c r="G47" s="11">
        <v>25</v>
      </c>
      <c r="H47" s="11"/>
      <c r="I47" s="11"/>
      <c r="J47" s="11"/>
      <c r="K47" s="11"/>
      <c r="L47" s="11"/>
      <c r="M47" s="11"/>
      <c r="N47" s="11"/>
      <c r="O47" s="11"/>
      <c r="P47" s="11"/>
      <c r="Q47" s="10">
        <f t="shared" ref="Q47:Q52" si="9">SUM(E47:P47)</f>
        <v>329.03999999999996</v>
      </c>
      <c r="R47" s="10">
        <v>13950</v>
      </c>
      <c r="S47" s="10">
        <f>Q47-R47</f>
        <v>-13620.96</v>
      </c>
      <c r="T47" s="16">
        <f t="shared" ref="T47:T53" si="10">IF(R47,Q47/R47,0)</f>
        <v>2.3587096774193544E-2</v>
      </c>
      <c r="U47" s="10"/>
    </row>
    <row r="48" spans="1:22" x14ac:dyDescent="0.45">
      <c r="A48" s="8"/>
      <c r="B48" s="8"/>
      <c r="C48" s="8" t="s">
        <v>53</v>
      </c>
      <c r="D48" s="8"/>
      <c r="E48" s="11"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0">
        <f t="shared" si="9"/>
        <v>0</v>
      </c>
      <c r="R48" s="10">
        <v>400</v>
      </c>
      <c r="S48" s="10">
        <v>400</v>
      </c>
      <c r="T48" s="16">
        <f t="shared" si="10"/>
        <v>0</v>
      </c>
      <c r="U48" s="10"/>
    </row>
    <row r="49" spans="1:22" x14ac:dyDescent="0.45">
      <c r="A49" s="8"/>
      <c r="B49" s="8"/>
      <c r="C49" s="8" t="s">
        <v>54</v>
      </c>
      <c r="D49" s="8"/>
      <c r="E49" s="11">
        <v>158.25</v>
      </c>
      <c r="F49" s="11">
        <f>174.5+5</f>
        <v>179.5</v>
      </c>
      <c r="G49" s="11"/>
      <c r="H49" s="11"/>
      <c r="I49" s="11">
        <v>115</v>
      </c>
      <c r="J49" s="11">
        <v>576</v>
      </c>
      <c r="K49" s="11">
        <v>155</v>
      </c>
      <c r="L49" s="11">
        <v>187</v>
      </c>
      <c r="M49" s="11">
        <v>257</v>
      </c>
      <c r="N49" s="11">
        <v>241</v>
      </c>
      <c r="O49" s="11">
        <v>40</v>
      </c>
      <c r="P49" s="11">
        <v>174</v>
      </c>
      <c r="Q49" s="10">
        <v>2082.75</v>
      </c>
      <c r="R49" s="10">
        <v>2000</v>
      </c>
      <c r="S49" s="10">
        <f t="shared" ref="S49:S52" si="11">Q49-R49</f>
        <v>82.75</v>
      </c>
      <c r="T49" s="16">
        <f t="shared" si="10"/>
        <v>1.0413749999999999</v>
      </c>
      <c r="U49" s="10"/>
    </row>
    <row r="50" spans="1:22" x14ac:dyDescent="0.45">
      <c r="A50" s="8"/>
      <c r="B50" s="8"/>
      <c r="C50" s="8" t="s">
        <v>55</v>
      </c>
      <c r="D50" s="8"/>
      <c r="E50" s="11"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0">
        <v>0</v>
      </c>
      <c r="R50" s="10">
        <v>2700</v>
      </c>
      <c r="S50" s="10">
        <v>2700</v>
      </c>
      <c r="T50" s="16">
        <f t="shared" si="10"/>
        <v>0</v>
      </c>
      <c r="U50" s="10"/>
    </row>
    <row r="51" spans="1:22" x14ac:dyDescent="0.45">
      <c r="A51" s="8"/>
      <c r="B51" s="8"/>
      <c r="C51" s="8" t="s">
        <v>56</v>
      </c>
      <c r="D51" s="8"/>
      <c r="E51" s="11">
        <v>375</v>
      </c>
      <c r="F51" s="11">
        <v>250</v>
      </c>
      <c r="G51" s="11">
        <v>310</v>
      </c>
      <c r="H51" s="11">
        <v>100</v>
      </c>
      <c r="I51" s="11">
        <v>100</v>
      </c>
      <c r="J51" s="11">
        <v>60</v>
      </c>
      <c r="K51" s="11">
        <v>80</v>
      </c>
      <c r="L51" s="11">
        <v>575</v>
      </c>
      <c r="M51" s="11">
        <v>60</v>
      </c>
      <c r="N51" s="11">
        <v>114</v>
      </c>
      <c r="O51" s="11">
        <v>320</v>
      </c>
      <c r="P51" s="11">
        <v>512</v>
      </c>
      <c r="Q51" s="10">
        <v>2856</v>
      </c>
      <c r="R51" s="10">
        <v>4375</v>
      </c>
      <c r="S51" s="10">
        <f t="shared" si="11"/>
        <v>-1519</v>
      </c>
      <c r="T51" s="16">
        <f t="shared" si="10"/>
        <v>0.65280000000000005</v>
      </c>
      <c r="U51" s="10"/>
    </row>
    <row r="52" spans="1:22" x14ac:dyDescent="0.45">
      <c r="A52" s="8"/>
      <c r="B52" s="8"/>
      <c r="C52" s="8" t="s">
        <v>57</v>
      </c>
      <c r="D52" s="8"/>
      <c r="E52" s="12">
        <v>175</v>
      </c>
      <c r="F52" s="12">
        <v>829.31</v>
      </c>
      <c r="G52" s="12">
        <v>829.31</v>
      </c>
      <c r="H52" s="12">
        <v>829.31</v>
      </c>
      <c r="I52" s="12">
        <v>829.31</v>
      </c>
      <c r="J52" s="12">
        <v>935.55</v>
      </c>
      <c r="K52" s="12">
        <v>889.31</v>
      </c>
      <c r="L52" s="12">
        <v>844.31</v>
      </c>
      <c r="M52" s="12">
        <v>839.31</v>
      </c>
      <c r="N52" s="12">
        <v>839.31</v>
      </c>
      <c r="O52" s="12">
        <v>1658.62</v>
      </c>
      <c r="P52" s="12">
        <v>829.31</v>
      </c>
      <c r="Q52" s="10">
        <f t="shared" si="9"/>
        <v>10327.959999999997</v>
      </c>
      <c r="R52" s="10">
        <v>7825</v>
      </c>
      <c r="S52" s="17">
        <f t="shared" si="11"/>
        <v>2502.9599999999973</v>
      </c>
      <c r="T52" s="16">
        <f t="shared" si="10"/>
        <v>1.3198670926517568</v>
      </c>
      <c r="U52" s="17"/>
    </row>
    <row r="53" spans="1:22" x14ac:dyDescent="0.45">
      <c r="A53" s="7"/>
      <c r="B53" s="7" t="s">
        <v>58</v>
      </c>
      <c r="C53" s="7"/>
      <c r="D53" s="7"/>
      <c r="E53" s="14">
        <f t="shared" ref="E53:S53" si="12">SUM(E47:E52)</f>
        <v>768.25</v>
      </c>
      <c r="F53" s="14">
        <f t="shared" si="12"/>
        <v>1502.85</v>
      </c>
      <c r="G53" s="14">
        <f t="shared" si="12"/>
        <v>1164.31</v>
      </c>
      <c r="H53" s="14">
        <f t="shared" si="12"/>
        <v>929.31</v>
      </c>
      <c r="I53" s="14">
        <f t="shared" si="12"/>
        <v>1044.31</v>
      </c>
      <c r="J53" s="14">
        <f t="shared" si="12"/>
        <v>1571.55</v>
      </c>
      <c r="K53" s="14">
        <f t="shared" si="12"/>
        <v>1124.31</v>
      </c>
      <c r="L53" s="14">
        <f t="shared" si="12"/>
        <v>1606.31</v>
      </c>
      <c r="M53" s="14">
        <f t="shared" si="12"/>
        <v>1156.31</v>
      </c>
      <c r="N53" s="14">
        <f t="shared" si="12"/>
        <v>1194.31</v>
      </c>
      <c r="O53" s="14">
        <f t="shared" si="12"/>
        <v>2018.62</v>
      </c>
      <c r="P53" s="14">
        <f t="shared" si="12"/>
        <v>1515.31</v>
      </c>
      <c r="Q53" s="15">
        <f t="shared" si="12"/>
        <v>15595.749999999996</v>
      </c>
      <c r="R53" s="15">
        <f t="shared" si="12"/>
        <v>31250</v>
      </c>
      <c r="S53" s="15">
        <f t="shared" si="12"/>
        <v>-9454.2500000000018</v>
      </c>
      <c r="T53" s="18">
        <f t="shared" si="10"/>
        <v>0.4990639999999999</v>
      </c>
      <c r="U53" s="15">
        <f>SUM(U47:U52)</f>
        <v>0</v>
      </c>
      <c r="V53" s="3"/>
    </row>
    <row r="54" spans="1:22" x14ac:dyDescent="0.45">
      <c r="A54" s="8"/>
      <c r="B54" s="8"/>
      <c r="C54" s="8"/>
      <c r="D54" s="8"/>
      <c r="Q54" s="8"/>
      <c r="R54" s="8"/>
      <c r="S54" s="8"/>
      <c r="T54" s="16"/>
      <c r="U54" s="8"/>
    </row>
    <row r="55" spans="1:22" x14ac:dyDescent="0.45">
      <c r="A55" s="8"/>
      <c r="B55" s="8"/>
      <c r="C55" s="8"/>
      <c r="D55" s="8"/>
      <c r="Q55" s="8"/>
      <c r="R55" s="8"/>
      <c r="S55" s="8"/>
      <c r="T55" s="16"/>
      <c r="U55" s="8"/>
    </row>
    <row r="56" spans="1:22" x14ac:dyDescent="0.45">
      <c r="A56" s="8"/>
      <c r="B56" s="7" t="s">
        <v>59</v>
      </c>
      <c r="C56" s="8"/>
      <c r="D56" s="8"/>
      <c r="Q56" s="8"/>
      <c r="R56" s="8"/>
      <c r="S56" s="8"/>
      <c r="T56" s="16"/>
      <c r="U56" s="8"/>
    </row>
    <row r="57" spans="1:22" x14ac:dyDescent="0.45">
      <c r="A57" s="8"/>
      <c r="B57" s="8"/>
      <c r="C57" s="8" t="s">
        <v>60</v>
      </c>
      <c r="D57" s="8"/>
      <c r="E57" s="11">
        <v>24381</v>
      </c>
      <c r="F57" s="11">
        <v>22883.24</v>
      </c>
      <c r="G57" s="11">
        <v>19359</v>
      </c>
      <c r="H57" s="11">
        <v>38609.53</v>
      </c>
      <c r="I57" s="11">
        <v>16039.74</v>
      </c>
      <c r="J57" s="11">
        <v>16235.82</v>
      </c>
      <c r="K57" s="11">
        <v>19297.150000000001</v>
      </c>
      <c r="L57" s="11">
        <v>15692.96</v>
      </c>
      <c r="M57" s="11">
        <v>10434.15</v>
      </c>
      <c r="N57" s="11">
        <v>11070.32</v>
      </c>
      <c r="O57" s="11">
        <v>17799.400000000001</v>
      </c>
      <c r="P57" s="11">
        <v>13740.43</v>
      </c>
      <c r="Q57" s="10">
        <v>225542.74</v>
      </c>
      <c r="R57" s="10">
        <v>240904</v>
      </c>
      <c r="S57" s="10">
        <f>Q57-R57</f>
        <v>-15361.260000000009</v>
      </c>
      <c r="T57" s="16">
        <f>IF(R57,Q57/R57,0)</f>
        <v>0.93623493175704842</v>
      </c>
      <c r="U57" s="10"/>
    </row>
    <row r="58" spans="1:22" x14ac:dyDescent="0.45">
      <c r="A58" s="8"/>
      <c r="B58" s="8"/>
      <c r="C58" s="8" t="s">
        <v>61</v>
      </c>
      <c r="D58" s="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500</v>
      </c>
      <c r="P58" s="11">
        <v>500</v>
      </c>
      <c r="Q58" s="10">
        <v>1000</v>
      </c>
      <c r="R58" s="10">
        <v>0</v>
      </c>
      <c r="S58" s="10">
        <f>Q58-R58</f>
        <v>1000</v>
      </c>
      <c r="T58" s="16">
        <f>IF(R58,Q58/R58,0)</f>
        <v>0</v>
      </c>
      <c r="U58" s="10"/>
    </row>
    <row r="59" spans="1:22" x14ac:dyDescent="0.45">
      <c r="A59" s="8"/>
      <c r="B59" s="8"/>
      <c r="C59" s="8" t="s">
        <v>62</v>
      </c>
      <c r="D59" s="8"/>
      <c r="E59" s="12">
        <v>320</v>
      </c>
      <c r="F59" s="12">
        <v>145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0">
        <v>465</v>
      </c>
      <c r="R59" s="10">
        <v>0</v>
      </c>
      <c r="S59" s="17">
        <f t="shared" ref="S59:S60" si="13">Q59-R59</f>
        <v>465</v>
      </c>
      <c r="T59" s="16">
        <f>IF(R59,Q59/R59,0)</f>
        <v>0</v>
      </c>
      <c r="U59" s="17"/>
    </row>
    <row r="60" spans="1:22" x14ac:dyDescent="0.45">
      <c r="A60" s="7"/>
      <c r="B60" s="7" t="s">
        <v>63</v>
      </c>
      <c r="C60" s="7"/>
      <c r="D60" s="7"/>
      <c r="E60" s="19">
        <f t="shared" ref="E60:R60" si="14">E57+E59</f>
        <v>24701</v>
      </c>
      <c r="F60" s="19">
        <f t="shared" si="14"/>
        <v>23028.240000000002</v>
      </c>
      <c r="G60" s="19">
        <f t="shared" si="14"/>
        <v>19359</v>
      </c>
      <c r="H60" s="19">
        <f t="shared" si="14"/>
        <v>38609.53</v>
      </c>
      <c r="I60" s="19">
        <f t="shared" si="14"/>
        <v>16039.74</v>
      </c>
      <c r="J60" s="19">
        <f t="shared" si="14"/>
        <v>16235.82</v>
      </c>
      <c r="K60" s="19">
        <f t="shared" si="14"/>
        <v>19297.150000000001</v>
      </c>
      <c r="L60" s="19">
        <f t="shared" si="14"/>
        <v>15692.96</v>
      </c>
      <c r="M60" s="19">
        <f t="shared" si="14"/>
        <v>10434.15</v>
      </c>
      <c r="N60" s="19">
        <f t="shared" si="14"/>
        <v>11070.32</v>
      </c>
      <c r="O60" s="19">
        <f>O57++O58+O59</f>
        <v>18299.400000000001</v>
      </c>
      <c r="P60" s="19">
        <f>P57+P58+P59</f>
        <v>14240.43</v>
      </c>
      <c r="Q60" s="15">
        <f t="shared" si="14"/>
        <v>226007.74</v>
      </c>
      <c r="R60" s="15">
        <f t="shared" si="14"/>
        <v>240904</v>
      </c>
      <c r="S60" s="15">
        <f t="shared" si="13"/>
        <v>-14896.260000000009</v>
      </c>
      <c r="T60" s="18">
        <f>IF(R60,Q60/R60,0)</f>
        <v>0.93816516122604854</v>
      </c>
      <c r="U60" s="15"/>
      <c r="V60" s="3"/>
    </row>
    <row r="61" spans="1:22" x14ac:dyDescent="0.45">
      <c r="A61" s="8"/>
      <c r="B61" s="8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/>
      <c r="R61" s="10"/>
      <c r="S61" s="10"/>
      <c r="T61" s="16"/>
      <c r="U61" s="10"/>
    </row>
    <row r="62" spans="1:22" x14ac:dyDescent="0.45">
      <c r="A62" s="7"/>
      <c r="B62" s="7" t="s">
        <v>64</v>
      </c>
      <c r="C62" s="7"/>
      <c r="D62" s="7"/>
      <c r="E62" s="19">
        <f t="shared" ref="E62:S62" si="15">E44+E53+E60</f>
        <v>42152.25</v>
      </c>
      <c r="F62" s="19">
        <f t="shared" si="15"/>
        <v>24755.09</v>
      </c>
      <c r="G62" s="19">
        <f t="shared" si="15"/>
        <v>20563.310000000001</v>
      </c>
      <c r="H62" s="19">
        <f t="shared" si="15"/>
        <v>39976.839999999997</v>
      </c>
      <c r="I62" s="19">
        <f t="shared" si="15"/>
        <v>17144.05</v>
      </c>
      <c r="J62" s="19">
        <f t="shared" si="15"/>
        <v>18087.37</v>
      </c>
      <c r="K62" s="19">
        <f t="shared" si="15"/>
        <v>20421.460000000003</v>
      </c>
      <c r="L62" s="19">
        <f t="shared" si="15"/>
        <v>17319.27</v>
      </c>
      <c r="M62" s="19">
        <f t="shared" si="15"/>
        <v>11590.46</v>
      </c>
      <c r="N62" s="19">
        <f t="shared" si="15"/>
        <v>12647.63</v>
      </c>
      <c r="O62" s="19">
        <f t="shared" si="15"/>
        <v>20718.02</v>
      </c>
      <c r="P62" s="19">
        <f t="shared" si="15"/>
        <v>27305.739999999998</v>
      </c>
      <c r="Q62" s="14">
        <f t="shared" si="15"/>
        <v>271681.49</v>
      </c>
      <c r="R62" s="14">
        <f t="shared" si="15"/>
        <v>275654</v>
      </c>
      <c r="S62" s="14">
        <f t="shared" si="15"/>
        <v>2227.4899999999907</v>
      </c>
      <c r="T62" s="20">
        <f>IF(R62,Q62/R62,0)</f>
        <v>0.98558878158851315</v>
      </c>
      <c r="U62" s="14">
        <f>U44+U53+U60</f>
        <v>0</v>
      </c>
      <c r="V62" s="3"/>
    </row>
    <row r="63" spans="1:22" x14ac:dyDescent="0.45">
      <c r="A63" s="8"/>
      <c r="B63" s="8"/>
      <c r="C63" s="8"/>
      <c r="D63" s="8"/>
      <c r="Q63" s="8"/>
      <c r="R63" s="8"/>
      <c r="S63" s="8"/>
      <c r="T63" s="16"/>
      <c r="U63" s="8"/>
    </row>
    <row r="64" spans="1:22" x14ac:dyDescent="0.45">
      <c r="A64" s="7" t="s">
        <v>65</v>
      </c>
      <c r="B64" s="8"/>
      <c r="C64" s="8"/>
      <c r="D64" s="8"/>
      <c r="Q64" s="8"/>
      <c r="R64" s="8"/>
      <c r="S64" s="8"/>
      <c r="T64" s="16"/>
      <c r="U64" s="8"/>
    </row>
    <row r="65" spans="1:22" x14ac:dyDescent="0.45">
      <c r="A65" s="7" t="s">
        <v>66</v>
      </c>
      <c r="B65" s="8"/>
      <c r="C65" s="8"/>
      <c r="D65" s="8"/>
      <c r="Q65" s="8"/>
      <c r="R65" s="8"/>
      <c r="S65" s="8"/>
      <c r="T65" s="16"/>
      <c r="U65" s="8"/>
    </row>
    <row r="66" spans="1:22" x14ac:dyDescent="0.45">
      <c r="A66" s="8"/>
      <c r="B66" s="8" t="s">
        <v>67</v>
      </c>
      <c r="C66" s="8"/>
      <c r="D66" s="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/>
      <c r="R66" s="8"/>
      <c r="S66" s="8"/>
      <c r="T66" s="16"/>
      <c r="U66" s="8"/>
    </row>
    <row r="67" spans="1:22" x14ac:dyDescent="0.45">
      <c r="A67" s="8"/>
      <c r="B67" s="8"/>
      <c r="C67" s="8" t="s">
        <v>68</v>
      </c>
      <c r="D67" s="8"/>
      <c r="E67" s="11">
        <v>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0">
        <f t="shared" ref="Q67:Q68" si="16">SUM(E67:P67)</f>
        <v>0</v>
      </c>
      <c r="R67" s="10">
        <v>480</v>
      </c>
      <c r="S67" s="22">
        <f>Q67-R67</f>
        <v>-480</v>
      </c>
      <c r="T67" s="16">
        <f t="shared" ref="T67:T70" si="17">IF(R67,Q67/R67,0)</f>
        <v>0</v>
      </c>
      <c r="U67" s="10"/>
    </row>
    <row r="68" spans="1:22" x14ac:dyDescent="0.45">
      <c r="A68" s="8"/>
      <c r="B68" s="8"/>
      <c r="C68" s="8" t="s">
        <v>69</v>
      </c>
      <c r="D68" s="8"/>
      <c r="E68" s="11">
        <v>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0">
        <f t="shared" si="16"/>
        <v>0</v>
      </c>
      <c r="R68" s="10">
        <v>350</v>
      </c>
      <c r="S68" s="22">
        <f t="shared" ref="S68:S69" si="18">Q68-R68</f>
        <v>-350</v>
      </c>
      <c r="T68" s="16">
        <f t="shared" si="17"/>
        <v>0</v>
      </c>
      <c r="U68" s="10"/>
    </row>
    <row r="69" spans="1:22" x14ac:dyDescent="0.45">
      <c r="A69" s="8"/>
      <c r="B69" s="8"/>
      <c r="C69" s="8" t="s">
        <v>70</v>
      </c>
      <c r="D69" s="8"/>
      <c r="E69" s="12">
        <v>0</v>
      </c>
      <c r="F69" s="12"/>
      <c r="G69" s="12"/>
      <c r="H69" s="12"/>
      <c r="I69" s="12"/>
      <c r="J69" s="12"/>
      <c r="K69" s="12"/>
      <c r="L69" s="12">
        <v>1467</v>
      </c>
      <c r="M69" s="12"/>
      <c r="N69" s="12"/>
      <c r="O69" s="12"/>
      <c r="P69" s="12">
        <v>733</v>
      </c>
      <c r="Q69" s="10">
        <v>2200</v>
      </c>
      <c r="R69" s="10">
        <v>2200</v>
      </c>
      <c r="S69" s="23">
        <f t="shared" si="18"/>
        <v>0</v>
      </c>
      <c r="T69" s="16">
        <f t="shared" si="17"/>
        <v>1</v>
      </c>
      <c r="U69" s="17"/>
    </row>
    <row r="70" spans="1:22" x14ac:dyDescent="0.45">
      <c r="A70" s="7"/>
      <c r="B70" s="7" t="s">
        <v>71</v>
      </c>
      <c r="C70" s="7"/>
      <c r="D70" s="7"/>
      <c r="E70" s="19">
        <f t="shared" ref="E70:S70" si="19">SUM(E67:E69)</f>
        <v>0</v>
      </c>
      <c r="F70" s="19">
        <f t="shared" si="19"/>
        <v>0</v>
      </c>
      <c r="G70" s="19">
        <f t="shared" si="19"/>
        <v>0</v>
      </c>
      <c r="H70" s="19">
        <f t="shared" si="19"/>
        <v>0</v>
      </c>
      <c r="I70" s="19">
        <f t="shared" si="19"/>
        <v>0</v>
      </c>
      <c r="J70" s="19">
        <f t="shared" si="19"/>
        <v>0</v>
      </c>
      <c r="K70" s="19">
        <f t="shared" si="19"/>
        <v>0</v>
      </c>
      <c r="L70" s="19">
        <f t="shared" si="19"/>
        <v>1467</v>
      </c>
      <c r="M70" s="19">
        <f t="shared" si="19"/>
        <v>0</v>
      </c>
      <c r="N70" s="19">
        <f t="shared" si="19"/>
        <v>0</v>
      </c>
      <c r="O70" s="19">
        <f t="shared" si="19"/>
        <v>0</v>
      </c>
      <c r="P70" s="19">
        <f t="shared" si="19"/>
        <v>733</v>
      </c>
      <c r="Q70" s="15">
        <f t="shared" si="19"/>
        <v>2200</v>
      </c>
      <c r="R70" s="24">
        <f t="shared" si="19"/>
        <v>3030</v>
      </c>
      <c r="S70" s="24">
        <f t="shared" si="19"/>
        <v>-830</v>
      </c>
      <c r="T70" s="18">
        <f t="shared" si="17"/>
        <v>0.72607260726072609</v>
      </c>
      <c r="U70" s="15"/>
      <c r="V70" s="3"/>
    </row>
    <row r="71" spans="1:22" x14ac:dyDescent="0.45">
      <c r="A71" s="8"/>
      <c r="B71" s="8"/>
      <c r="C71" s="8"/>
      <c r="D71" s="8"/>
      <c r="Q71" s="10"/>
      <c r="R71" s="22"/>
      <c r="S71" s="22"/>
      <c r="T71" s="16"/>
      <c r="U71" s="10"/>
    </row>
    <row r="72" spans="1:22" x14ac:dyDescent="0.45">
      <c r="A72" s="8"/>
      <c r="B72" s="7" t="s">
        <v>72</v>
      </c>
      <c r="C72" s="8"/>
      <c r="D72" s="8"/>
      <c r="Q72" s="10"/>
      <c r="R72" s="22"/>
      <c r="S72" s="22"/>
      <c r="T72" s="16"/>
      <c r="U72" s="10"/>
    </row>
    <row r="73" spans="1:22" x14ac:dyDescent="0.45">
      <c r="A73" s="8"/>
      <c r="B73" s="8"/>
      <c r="C73" s="8" t="s">
        <v>55</v>
      </c>
      <c r="D73" s="8"/>
      <c r="E73" s="11">
        <v>24.84</v>
      </c>
      <c r="F73" s="11"/>
      <c r="G73" s="11">
        <v>25.92</v>
      </c>
      <c r="H73" s="11"/>
      <c r="I73" s="11"/>
      <c r="J73" s="11"/>
      <c r="K73" s="11"/>
      <c r="L73" s="11"/>
      <c r="M73" s="11"/>
      <c r="N73" s="11"/>
      <c r="O73" s="11"/>
      <c r="P73" s="11"/>
      <c r="Q73" s="10">
        <v>50.76</v>
      </c>
      <c r="R73" s="10">
        <v>1440</v>
      </c>
      <c r="S73" s="10">
        <f>Q73-R73</f>
        <v>-1389.24</v>
      </c>
      <c r="T73" s="16">
        <f t="shared" ref="T73:T77" si="20">IF(R73,Q73/R73,0)</f>
        <v>3.5249999999999997E-2</v>
      </c>
      <c r="U73" s="10"/>
    </row>
    <row r="74" spans="1:22" x14ac:dyDescent="0.45">
      <c r="A74" s="8"/>
      <c r="B74" s="8"/>
      <c r="C74" s="8" t="s">
        <v>73</v>
      </c>
      <c r="D74" s="8"/>
      <c r="E74" s="11">
        <v>0</v>
      </c>
      <c r="F74" s="11">
        <v>30.75</v>
      </c>
      <c r="G74" s="11">
        <v>176.6</v>
      </c>
      <c r="H74" s="11"/>
      <c r="I74" s="11"/>
      <c r="J74" s="11">
        <v>111.24</v>
      </c>
      <c r="K74" s="11">
        <v>83.98</v>
      </c>
      <c r="L74" s="11">
        <v>57.95</v>
      </c>
      <c r="M74" s="11"/>
      <c r="N74" s="11">
        <v>263.48</v>
      </c>
      <c r="O74" s="11">
        <v>61.95</v>
      </c>
      <c r="P74" s="11"/>
      <c r="Q74" s="10">
        <f t="shared" ref="Q74:Q76" si="21">SUM(E74:P74)</f>
        <v>785.95</v>
      </c>
      <c r="R74" s="10">
        <v>1700</v>
      </c>
      <c r="S74" s="10">
        <f t="shared" ref="S74:S77" si="22">Q74-R74</f>
        <v>-914.05</v>
      </c>
      <c r="T74" s="16">
        <f t="shared" si="20"/>
        <v>0.46232352941176474</v>
      </c>
      <c r="U74" s="10"/>
    </row>
    <row r="75" spans="1:22" x14ac:dyDescent="0.45">
      <c r="A75" s="8"/>
      <c r="B75" s="8"/>
      <c r="C75" s="8" t="s">
        <v>74</v>
      </c>
      <c r="D75" s="8"/>
      <c r="E75" s="11">
        <v>0</v>
      </c>
      <c r="F75" s="11"/>
      <c r="G75" s="11">
        <v>86.25</v>
      </c>
      <c r="H75" s="11">
        <v>137</v>
      </c>
      <c r="I75" s="11"/>
      <c r="J75" s="11"/>
      <c r="K75" s="11">
        <v>365</v>
      </c>
      <c r="L75" s="11"/>
      <c r="M75" s="11">
        <v>49.98</v>
      </c>
      <c r="N75" s="11">
        <v>20.95</v>
      </c>
      <c r="O75" s="11"/>
      <c r="P75" s="11"/>
      <c r="Q75" s="10">
        <f t="shared" si="21"/>
        <v>659.18000000000006</v>
      </c>
      <c r="R75" s="10">
        <v>1300</v>
      </c>
      <c r="S75" s="10">
        <f t="shared" si="22"/>
        <v>-640.81999999999994</v>
      </c>
      <c r="T75" s="16">
        <f t="shared" si="20"/>
        <v>0.50706153846153856</v>
      </c>
      <c r="U75" s="10"/>
    </row>
    <row r="76" spans="1:22" x14ac:dyDescent="0.45">
      <c r="A76" s="8"/>
      <c r="B76" s="8"/>
      <c r="C76" s="8" t="s">
        <v>75</v>
      </c>
      <c r="D76" s="8"/>
      <c r="E76" s="12">
        <v>0</v>
      </c>
      <c r="F76" s="12"/>
      <c r="G76" s="12"/>
      <c r="H76" s="12"/>
      <c r="I76" s="12">
        <v>106.24</v>
      </c>
      <c r="J76" s="12"/>
      <c r="K76" s="12">
        <v>26.55</v>
      </c>
      <c r="L76" s="12"/>
      <c r="M76" s="12"/>
      <c r="N76" s="12"/>
      <c r="O76" s="12"/>
      <c r="P76" s="12"/>
      <c r="Q76" s="10">
        <f t="shared" si="21"/>
        <v>132.79</v>
      </c>
      <c r="R76" s="10">
        <v>600</v>
      </c>
      <c r="S76" s="17">
        <f t="shared" si="22"/>
        <v>-467.21000000000004</v>
      </c>
      <c r="T76" s="16">
        <f t="shared" si="20"/>
        <v>0.22131666666666666</v>
      </c>
      <c r="U76" s="17"/>
    </row>
    <row r="77" spans="1:22" x14ac:dyDescent="0.45">
      <c r="A77" s="7"/>
      <c r="B77" s="7" t="s">
        <v>76</v>
      </c>
      <c r="C77" s="7"/>
      <c r="D77" s="7"/>
      <c r="E77" s="25">
        <f t="shared" ref="E77:Q77" si="23">SUM(E73:E76)</f>
        <v>24.84</v>
      </c>
      <c r="F77" s="25">
        <f t="shared" si="23"/>
        <v>30.75</v>
      </c>
      <c r="G77" s="25">
        <f t="shared" si="23"/>
        <v>288.77</v>
      </c>
      <c r="H77" s="25">
        <f t="shared" si="23"/>
        <v>137</v>
      </c>
      <c r="I77" s="25">
        <f t="shared" si="23"/>
        <v>106.24</v>
      </c>
      <c r="J77" s="25">
        <f t="shared" si="23"/>
        <v>111.24</v>
      </c>
      <c r="K77" s="25">
        <f t="shared" si="23"/>
        <v>475.53000000000003</v>
      </c>
      <c r="L77" s="25">
        <f t="shared" si="23"/>
        <v>57.95</v>
      </c>
      <c r="M77" s="25">
        <f t="shared" si="23"/>
        <v>49.98</v>
      </c>
      <c r="N77" s="25">
        <f t="shared" si="23"/>
        <v>284.43</v>
      </c>
      <c r="O77" s="25">
        <f t="shared" si="23"/>
        <v>61.95</v>
      </c>
      <c r="P77" s="25">
        <f t="shared" si="23"/>
        <v>0</v>
      </c>
      <c r="Q77" s="24">
        <f t="shared" si="23"/>
        <v>1628.68</v>
      </c>
      <c r="R77" s="24">
        <f t="shared" ref="R77" si="24">SUM(R73:R76)</f>
        <v>5040</v>
      </c>
      <c r="S77" s="15">
        <f t="shared" si="22"/>
        <v>-3411.3199999999997</v>
      </c>
      <c r="T77" s="18">
        <f t="shared" si="20"/>
        <v>0.32315079365079369</v>
      </c>
      <c r="U77" s="24"/>
      <c r="V77" s="3"/>
    </row>
    <row r="78" spans="1:22" x14ac:dyDescent="0.45">
      <c r="A78" s="8"/>
      <c r="B78" s="8"/>
      <c r="C78" s="8"/>
      <c r="D78" s="8"/>
      <c r="Q78" s="8"/>
      <c r="R78" s="10"/>
      <c r="S78" s="8"/>
      <c r="T78" s="16"/>
      <c r="U78" s="8"/>
    </row>
    <row r="79" spans="1:22" x14ac:dyDescent="0.45">
      <c r="A79" s="8"/>
      <c r="B79" s="7" t="s">
        <v>77</v>
      </c>
      <c r="C79" s="8"/>
      <c r="D79" s="8"/>
      <c r="Q79" s="8"/>
      <c r="R79" s="8"/>
      <c r="S79" s="8" t="s">
        <v>78</v>
      </c>
      <c r="T79" s="16"/>
      <c r="U79" s="8"/>
    </row>
    <row r="80" spans="1:22" x14ac:dyDescent="0.45">
      <c r="A80" s="8"/>
      <c r="B80" s="8"/>
      <c r="C80" s="8" t="s">
        <v>79</v>
      </c>
      <c r="D80" s="8"/>
      <c r="E80" s="11">
        <v>0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0">
        <f t="shared" ref="Q80:Q91" si="25">SUM(E80:P80)</f>
        <v>0</v>
      </c>
      <c r="R80" s="10">
        <v>10134</v>
      </c>
      <c r="S80" s="10">
        <f>Q80-R80</f>
        <v>-10134</v>
      </c>
      <c r="T80" s="16">
        <f t="shared" ref="T80:T93" si="26">IF(R80,Q80/R80,0)</f>
        <v>0</v>
      </c>
      <c r="U80" s="10"/>
    </row>
    <row r="81" spans="1:22" x14ac:dyDescent="0.45">
      <c r="A81" s="8"/>
      <c r="B81" s="8"/>
      <c r="C81" s="8" t="s">
        <v>80</v>
      </c>
      <c r="D81" s="8"/>
      <c r="E81" s="11">
        <v>168.64</v>
      </c>
      <c r="F81" s="11">
        <v>153.68</v>
      </c>
      <c r="G81" s="11"/>
      <c r="H81" s="11"/>
      <c r="I81" s="11"/>
      <c r="J81" s="11">
        <v>213.54</v>
      </c>
      <c r="K81" s="11">
        <v>103.17</v>
      </c>
      <c r="L81" s="11">
        <v>60.41</v>
      </c>
      <c r="M81" s="11">
        <v>65.319999999999993</v>
      </c>
      <c r="N81" s="11"/>
      <c r="O81" s="11"/>
      <c r="P81" s="11">
        <v>98.43</v>
      </c>
      <c r="Q81" s="10">
        <f t="shared" si="25"/>
        <v>863.19</v>
      </c>
      <c r="R81" s="10">
        <v>1500</v>
      </c>
      <c r="S81" s="10">
        <f t="shared" ref="S81:S92" si="27">Q81-R81</f>
        <v>-636.80999999999995</v>
      </c>
      <c r="T81" s="16">
        <f t="shared" si="26"/>
        <v>0.57546000000000008</v>
      </c>
      <c r="U81" s="10"/>
    </row>
    <row r="82" spans="1:22" x14ac:dyDescent="0.45">
      <c r="A82" s="8"/>
      <c r="B82" s="8"/>
      <c r="C82" s="8" t="s">
        <v>81</v>
      </c>
      <c r="D82" s="8"/>
      <c r="E82" s="11">
        <v>164.82</v>
      </c>
      <c r="F82" s="11">
        <v>165.55</v>
      </c>
      <c r="G82" s="11">
        <v>46.62</v>
      </c>
      <c r="H82" s="11">
        <v>161</v>
      </c>
      <c r="I82" s="11"/>
      <c r="J82" s="11">
        <v>408.45</v>
      </c>
      <c r="K82" s="11">
        <v>181.21</v>
      </c>
      <c r="L82" s="11">
        <v>262.2</v>
      </c>
      <c r="M82" s="11">
        <v>224.78</v>
      </c>
      <c r="N82" s="11">
        <v>203</v>
      </c>
      <c r="O82" s="11"/>
      <c r="P82" s="11">
        <v>113.82</v>
      </c>
      <c r="Q82" s="10">
        <f t="shared" si="25"/>
        <v>1931.45</v>
      </c>
      <c r="R82" s="10">
        <v>2500</v>
      </c>
      <c r="S82" s="10">
        <f t="shared" si="27"/>
        <v>-568.54999999999995</v>
      </c>
      <c r="T82" s="16">
        <f t="shared" si="26"/>
        <v>0.77258000000000004</v>
      </c>
      <c r="U82" s="10"/>
    </row>
    <row r="83" spans="1:22" x14ac:dyDescent="0.45">
      <c r="A83" s="8"/>
      <c r="B83" s="8"/>
      <c r="C83" s="8" t="s">
        <v>82</v>
      </c>
      <c r="D83" s="8"/>
      <c r="E83" s="11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0">
        <f t="shared" si="25"/>
        <v>0</v>
      </c>
      <c r="R83" s="10">
        <v>900</v>
      </c>
      <c r="S83" s="10">
        <f t="shared" si="27"/>
        <v>-900</v>
      </c>
      <c r="T83" s="16">
        <f t="shared" si="26"/>
        <v>0</v>
      </c>
      <c r="U83" s="10"/>
    </row>
    <row r="84" spans="1:22" x14ac:dyDescent="0.45">
      <c r="A84" s="8"/>
      <c r="B84" s="8"/>
      <c r="C84" s="8" t="s">
        <v>83</v>
      </c>
      <c r="D84" s="8"/>
      <c r="E84" s="11">
        <v>229.5</v>
      </c>
      <c r="F84" s="11"/>
      <c r="G84" s="11"/>
      <c r="H84" s="11"/>
      <c r="I84" s="11"/>
      <c r="J84" s="11"/>
      <c r="K84" s="11"/>
      <c r="L84" s="11">
        <v>23.96</v>
      </c>
      <c r="M84" s="11"/>
      <c r="N84" s="11"/>
      <c r="O84" s="11"/>
      <c r="P84" s="11"/>
      <c r="Q84" s="26">
        <f t="shared" si="25"/>
        <v>253.46</v>
      </c>
      <c r="R84" s="10">
        <v>1250</v>
      </c>
      <c r="S84" s="10">
        <f t="shared" si="27"/>
        <v>-996.54</v>
      </c>
      <c r="T84" s="16">
        <f t="shared" si="26"/>
        <v>0.202768</v>
      </c>
      <c r="U84" s="10"/>
    </row>
    <row r="85" spans="1:22" x14ac:dyDescent="0.45">
      <c r="A85" s="8"/>
      <c r="B85" s="8"/>
      <c r="C85" s="8" t="s">
        <v>84</v>
      </c>
      <c r="D85" s="8"/>
      <c r="E85" s="11">
        <v>600</v>
      </c>
      <c r="F85" s="11"/>
      <c r="G85" s="11"/>
      <c r="H85" s="11"/>
      <c r="I85" s="11"/>
      <c r="J85" s="11"/>
      <c r="K85" s="11"/>
      <c r="L85" s="11"/>
      <c r="M85" s="11"/>
      <c r="N85" s="11"/>
      <c r="O85" s="11">
        <v>600</v>
      </c>
      <c r="P85" s="11"/>
      <c r="Q85" s="10">
        <f t="shared" si="25"/>
        <v>1200</v>
      </c>
      <c r="R85" s="10">
        <v>600</v>
      </c>
      <c r="S85" s="10">
        <f t="shared" si="27"/>
        <v>600</v>
      </c>
      <c r="T85" s="16">
        <f t="shared" si="26"/>
        <v>2</v>
      </c>
      <c r="U85" s="10"/>
    </row>
    <row r="86" spans="1:22" x14ac:dyDescent="0.45">
      <c r="A86" s="8"/>
      <c r="B86" s="8"/>
      <c r="C86" s="8" t="s">
        <v>85</v>
      </c>
      <c r="D86" s="8"/>
      <c r="E86" s="11">
        <v>13.71</v>
      </c>
      <c r="F86" s="11"/>
      <c r="G86" s="11"/>
      <c r="H86" s="11"/>
      <c r="I86" s="11"/>
      <c r="J86" s="11">
        <v>12.99</v>
      </c>
      <c r="K86" s="11"/>
      <c r="L86" s="11">
        <v>89.99</v>
      </c>
      <c r="M86" s="11"/>
      <c r="N86" s="11"/>
      <c r="O86" s="11"/>
      <c r="P86" s="11">
        <v>83.6</v>
      </c>
      <c r="Q86" s="10">
        <f t="shared" si="25"/>
        <v>200.29</v>
      </c>
      <c r="R86" s="10">
        <v>200</v>
      </c>
      <c r="S86" s="10">
        <f t="shared" si="27"/>
        <v>0.28999999999999204</v>
      </c>
      <c r="T86" s="16">
        <f t="shared" si="26"/>
        <v>1.00145</v>
      </c>
      <c r="U86" s="10"/>
    </row>
    <row r="87" spans="1:22" x14ac:dyDescent="0.45">
      <c r="A87" s="8"/>
      <c r="B87" s="8"/>
      <c r="C87" s="8" t="s">
        <v>86</v>
      </c>
      <c r="D87" s="8"/>
      <c r="E87" s="11">
        <v>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>
        <v>193</v>
      </c>
      <c r="Q87" s="10">
        <f t="shared" si="25"/>
        <v>193</v>
      </c>
      <c r="R87" s="10">
        <v>95</v>
      </c>
      <c r="S87" s="10">
        <f t="shared" si="27"/>
        <v>98</v>
      </c>
      <c r="T87" s="16">
        <f t="shared" si="26"/>
        <v>2.0315789473684212</v>
      </c>
      <c r="U87" s="10"/>
    </row>
    <row r="88" spans="1:22" x14ac:dyDescent="0.45">
      <c r="A88" s="8"/>
      <c r="B88" s="8"/>
      <c r="C88" s="8" t="s">
        <v>87</v>
      </c>
      <c r="D88" s="8"/>
      <c r="E88" s="11">
        <v>0</v>
      </c>
      <c r="F88" s="11">
        <v>109.72</v>
      </c>
      <c r="G88" s="11">
        <v>551.54</v>
      </c>
      <c r="H88" s="11">
        <v>81.739999999999995</v>
      </c>
      <c r="I88" s="11"/>
      <c r="J88" s="11"/>
      <c r="K88" s="11">
        <v>43.99</v>
      </c>
      <c r="L88" s="11"/>
      <c r="M88" s="11"/>
      <c r="N88" s="11"/>
      <c r="O88" s="11"/>
      <c r="P88" s="11"/>
      <c r="Q88" s="10">
        <f t="shared" si="25"/>
        <v>786.99</v>
      </c>
      <c r="R88" s="10">
        <v>250</v>
      </c>
      <c r="S88" s="10">
        <f t="shared" si="27"/>
        <v>536.99</v>
      </c>
      <c r="T88" s="16">
        <f t="shared" si="26"/>
        <v>3.1479599999999999</v>
      </c>
      <c r="U88" s="17"/>
    </row>
    <row r="89" spans="1:22" x14ac:dyDescent="0.45">
      <c r="A89" s="8"/>
      <c r="B89" s="8"/>
      <c r="C89" s="8" t="s">
        <v>88</v>
      </c>
      <c r="D89" s="8"/>
      <c r="E89" s="11"/>
      <c r="F89" s="11">
        <v>382.2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0">
        <f t="shared" si="25"/>
        <v>382.2</v>
      </c>
      <c r="R89" s="10">
        <f>(U89)*($W$2/12)</f>
        <v>0</v>
      </c>
      <c r="S89" s="10">
        <f t="shared" si="27"/>
        <v>382.2</v>
      </c>
      <c r="T89" s="16">
        <f t="shared" si="26"/>
        <v>0</v>
      </c>
      <c r="U89" s="17"/>
    </row>
    <row r="90" spans="1:22" x14ac:dyDescent="0.45">
      <c r="A90" s="8"/>
      <c r="B90" s="8"/>
      <c r="C90" s="8" t="s">
        <v>89</v>
      </c>
      <c r="D90" s="8"/>
      <c r="E90" s="11">
        <v>0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0">
        <f t="shared" si="25"/>
        <v>0</v>
      </c>
      <c r="R90" s="10">
        <f>(U90)*($W$2/12)</f>
        <v>0</v>
      </c>
      <c r="S90" s="10">
        <f t="shared" si="27"/>
        <v>0</v>
      </c>
      <c r="T90" s="16">
        <f t="shared" si="26"/>
        <v>0</v>
      </c>
      <c r="U90" s="17"/>
    </row>
    <row r="91" spans="1:22" x14ac:dyDescent="0.45">
      <c r="A91" s="8"/>
      <c r="B91" s="8"/>
      <c r="C91" s="8" t="s">
        <v>90</v>
      </c>
      <c r="D91" s="8"/>
      <c r="E91" s="27">
        <v>0</v>
      </c>
      <c r="F91" s="27"/>
      <c r="G91" s="27"/>
      <c r="H91" s="27"/>
      <c r="I91" s="27"/>
      <c r="J91" s="27"/>
      <c r="K91" s="27"/>
      <c r="L91" s="27"/>
      <c r="O91" s="27"/>
      <c r="P91" s="27"/>
      <c r="Q91" s="10">
        <f t="shared" si="25"/>
        <v>0</v>
      </c>
      <c r="R91" s="10">
        <f>(U91)*($W$2/12)</f>
        <v>0</v>
      </c>
      <c r="S91" s="10">
        <f t="shared" si="27"/>
        <v>0</v>
      </c>
      <c r="T91" s="16">
        <f>IF(R91,Q92/R91,0)</f>
        <v>0</v>
      </c>
      <c r="U91" s="28"/>
    </row>
    <row r="92" spans="1:22" x14ac:dyDescent="0.45">
      <c r="A92" s="8"/>
      <c r="B92" s="8"/>
      <c r="C92" s="8" t="s">
        <v>91</v>
      </c>
      <c r="D92" s="8"/>
      <c r="E92" s="12"/>
      <c r="F92" s="12">
        <v>218.5</v>
      </c>
      <c r="G92" s="12"/>
      <c r="H92" s="12"/>
      <c r="I92" s="12"/>
      <c r="J92" s="12"/>
      <c r="K92" s="12"/>
      <c r="L92" s="12"/>
      <c r="M92" s="12"/>
      <c r="N92" s="12">
        <v>63</v>
      </c>
      <c r="O92" s="12"/>
      <c r="P92" s="12"/>
      <c r="Q92" s="10">
        <f>SUM(E92:P92)</f>
        <v>281.5</v>
      </c>
      <c r="R92" s="10">
        <v>0</v>
      </c>
      <c r="S92" s="10">
        <f t="shared" si="27"/>
        <v>281.5</v>
      </c>
      <c r="T92" s="16">
        <f>IF(R92,Q93/R92,0)</f>
        <v>0</v>
      </c>
      <c r="U92" s="28"/>
    </row>
    <row r="93" spans="1:22" x14ac:dyDescent="0.45">
      <c r="A93" s="7"/>
      <c r="B93" s="7" t="s">
        <v>92</v>
      </c>
      <c r="C93" s="7"/>
      <c r="D93" s="7"/>
      <c r="E93" s="19">
        <f t="shared" ref="E93:R93" si="28">SUM(E80:E91)</f>
        <v>1176.67</v>
      </c>
      <c r="F93" s="19">
        <f t="shared" si="28"/>
        <v>811.15000000000009</v>
      </c>
      <c r="G93" s="19">
        <f t="shared" si="28"/>
        <v>598.16</v>
      </c>
      <c r="H93" s="19">
        <f t="shared" si="28"/>
        <v>242.74</v>
      </c>
      <c r="I93" s="19">
        <f t="shared" si="28"/>
        <v>0</v>
      </c>
      <c r="J93" s="19">
        <f t="shared" si="28"/>
        <v>634.98</v>
      </c>
      <c r="K93" s="19">
        <f t="shared" si="28"/>
        <v>328.37</v>
      </c>
      <c r="L93" s="19">
        <f t="shared" si="28"/>
        <v>436.56</v>
      </c>
      <c r="M93" s="19">
        <f>SUM(M80:M92)</f>
        <v>290.10000000000002</v>
      </c>
      <c r="N93" s="19">
        <f>SUM(N80:N92)</f>
        <v>266</v>
      </c>
      <c r="O93" s="19">
        <f>SUM(O80:O91)</f>
        <v>600</v>
      </c>
      <c r="P93" s="19">
        <f>SUM(P80:P91)</f>
        <v>488.85</v>
      </c>
      <c r="Q93" s="15">
        <f>SUM(Q80:Q92)</f>
        <v>6092.08</v>
      </c>
      <c r="R93" s="15">
        <f t="shared" si="28"/>
        <v>17429</v>
      </c>
      <c r="S93" s="15">
        <f>SUM(S80:S92)</f>
        <v>-11336.919999999996</v>
      </c>
      <c r="T93" s="18">
        <f t="shared" si="26"/>
        <v>0.34953697859888688</v>
      </c>
      <c r="U93" s="15"/>
      <c r="V93" s="3"/>
    </row>
    <row r="94" spans="1:22" x14ac:dyDescent="0.45">
      <c r="A94" s="8"/>
      <c r="B94" s="8"/>
      <c r="C94" s="8"/>
      <c r="D94" s="8"/>
      <c r="Q94" s="8"/>
      <c r="R94" s="8"/>
      <c r="S94" s="8"/>
      <c r="T94" s="8"/>
      <c r="U94" s="10"/>
    </row>
    <row r="95" spans="1:22" x14ac:dyDescent="0.45">
      <c r="A95" s="7" t="s">
        <v>93</v>
      </c>
      <c r="B95" s="7"/>
      <c r="C95" s="7"/>
      <c r="D95" s="7"/>
      <c r="E95" s="25">
        <f t="shared" ref="E95:S95" si="29">E70+E77+E93</f>
        <v>1201.51</v>
      </c>
      <c r="F95" s="25">
        <f t="shared" si="29"/>
        <v>841.90000000000009</v>
      </c>
      <c r="G95" s="25">
        <f t="shared" si="29"/>
        <v>886.93</v>
      </c>
      <c r="H95" s="25">
        <f t="shared" si="29"/>
        <v>379.74</v>
      </c>
      <c r="I95" s="25">
        <f t="shared" si="29"/>
        <v>106.24</v>
      </c>
      <c r="J95" s="25">
        <f t="shared" si="29"/>
        <v>746.22</v>
      </c>
      <c r="K95" s="25">
        <f t="shared" si="29"/>
        <v>803.90000000000009</v>
      </c>
      <c r="L95" s="25">
        <f t="shared" si="29"/>
        <v>1961.51</v>
      </c>
      <c r="M95" s="25">
        <f t="shared" si="29"/>
        <v>340.08000000000004</v>
      </c>
      <c r="N95" s="25">
        <f t="shared" si="29"/>
        <v>550.43000000000006</v>
      </c>
      <c r="O95" s="25">
        <f t="shared" si="29"/>
        <v>661.95</v>
      </c>
      <c r="P95" s="25">
        <f t="shared" si="29"/>
        <v>1221.8499999999999</v>
      </c>
      <c r="Q95" s="29">
        <f t="shared" si="29"/>
        <v>9920.76</v>
      </c>
      <c r="R95" s="29">
        <f t="shared" si="29"/>
        <v>25499</v>
      </c>
      <c r="S95" s="29">
        <f t="shared" si="29"/>
        <v>-15578.239999999996</v>
      </c>
      <c r="T95" s="20">
        <f t="shared" ref="T95" si="30">Q95/R95</f>
        <v>0.38906466920271382</v>
      </c>
      <c r="U95" s="30"/>
      <c r="V95" s="3"/>
    </row>
    <row r="96" spans="1:22" x14ac:dyDescent="0.45">
      <c r="A96" s="8"/>
      <c r="B96" s="8"/>
      <c r="C96" s="8"/>
      <c r="D96" s="8"/>
      <c r="Q96" s="8"/>
      <c r="R96" s="8"/>
      <c r="S96" s="8"/>
      <c r="T96" s="16"/>
      <c r="U96" s="8"/>
    </row>
    <row r="97" spans="1:22" x14ac:dyDescent="0.45">
      <c r="A97" s="8"/>
      <c r="B97" s="7" t="s">
        <v>94</v>
      </c>
      <c r="C97" s="8"/>
      <c r="D97" s="8"/>
      <c r="Q97" s="8"/>
      <c r="R97" s="8"/>
      <c r="S97" s="8"/>
      <c r="T97" s="16"/>
      <c r="U97" s="8"/>
    </row>
    <row r="98" spans="1:22" x14ac:dyDescent="0.45">
      <c r="A98" s="8"/>
      <c r="B98" s="8"/>
      <c r="C98" s="8" t="s">
        <v>95</v>
      </c>
      <c r="D98" s="8"/>
      <c r="E98" s="11">
        <v>249.9</v>
      </c>
      <c r="F98" s="11">
        <v>244.25</v>
      </c>
      <c r="G98" s="11">
        <v>238.21</v>
      </c>
      <c r="H98" s="11">
        <v>232.33</v>
      </c>
      <c r="I98" s="11">
        <v>226.61</v>
      </c>
      <c r="J98" s="11">
        <v>220.49</v>
      </c>
      <c r="K98" s="11">
        <v>423.31</v>
      </c>
      <c r="L98" s="11"/>
      <c r="M98" s="11">
        <v>150.02000000000001</v>
      </c>
      <c r="N98" s="11">
        <v>163.41999999999999</v>
      </c>
      <c r="O98" s="11">
        <v>158.69999999999999</v>
      </c>
      <c r="P98" s="11">
        <v>153.97999999999999</v>
      </c>
      <c r="Q98" s="10">
        <f t="shared" ref="Q98:Q101" si="31">SUM(E98:P98)</f>
        <v>2461.2199999999998</v>
      </c>
      <c r="R98" s="10">
        <v>19026</v>
      </c>
      <c r="S98" s="10">
        <f>Q98+Q99-R98</f>
        <v>1365.2800000000025</v>
      </c>
      <c r="T98" s="16">
        <f>IF(R98,(Q98+Q99)/R98,0)</f>
        <v>1.071758646063282</v>
      </c>
      <c r="U98" s="31"/>
    </row>
    <row r="99" spans="1:22" x14ac:dyDescent="0.45">
      <c r="A99" s="8"/>
      <c r="B99" s="8"/>
      <c r="C99" s="8" t="s">
        <v>96</v>
      </c>
      <c r="D99" s="8"/>
      <c r="E99" s="11">
        <v>1506.26</v>
      </c>
      <c r="F99" s="11">
        <v>1511.91</v>
      </c>
      <c r="G99" s="11">
        <v>1517.95</v>
      </c>
      <c r="H99" s="11">
        <v>1523.83</v>
      </c>
      <c r="I99" s="11">
        <v>1529.55</v>
      </c>
      <c r="J99" s="11">
        <v>1535.67</v>
      </c>
      <c r="K99" s="11">
        <v>3089.01</v>
      </c>
      <c r="L99" s="11"/>
      <c r="M99" s="11">
        <v>1435.48</v>
      </c>
      <c r="N99" s="11">
        <v>1422.08</v>
      </c>
      <c r="O99" s="11">
        <v>1426.8</v>
      </c>
      <c r="P99" s="11">
        <v>1431.52</v>
      </c>
      <c r="Q99" s="10">
        <f t="shared" si="31"/>
        <v>17930.060000000001</v>
      </c>
      <c r="R99" s="10">
        <f>(U99)*($W$2/12)</f>
        <v>0</v>
      </c>
      <c r="S99" s="10"/>
      <c r="T99" s="16"/>
      <c r="U99" s="8"/>
    </row>
    <row r="100" spans="1:22" x14ac:dyDescent="0.45">
      <c r="A100" s="8"/>
      <c r="B100" s="8"/>
      <c r="C100" s="8" t="s">
        <v>97</v>
      </c>
      <c r="D100" s="8"/>
      <c r="E100" s="11">
        <v>98.84</v>
      </c>
      <c r="F100" s="11">
        <v>94.35</v>
      </c>
      <c r="G100" s="11">
        <v>84.21</v>
      </c>
      <c r="H100" s="11">
        <v>85.31</v>
      </c>
      <c r="I100" s="11">
        <v>78.17</v>
      </c>
      <c r="J100" s="11">
        <v>76.36</v>
      </c>
      <c r="K100" s="11">
        <v>69.33</v>
      </c>
      <c r="L100" s="11">
        <v>67.040000000000006</v>
      </c>
      <c r="M100" s="11">
        <v>62.43</v>
      </c>
      <c r="N100" s="11">
        <v>55.94</v>
      </c>
      <c r="O100" s="11">
        <v>53.45</v>
      </c>
      <c r="P100" s="11">
        <v>46.92</v>
      </c>
      <c r="Q100" s="10">
        <f t="shared" si="31"/>
        <v>872.35</v>
      </c>
      <c r="R100" s="10">
        <v>14617.2</v>
      </c>
      <c r="S100" s="10">
        <f>Q100+Q101-R100</f>
        <v>0</v>
      </c>
      <c r="T100" s="16">
        <f>IF(R100,(Q100+Q101)/R100,0)</f>
        <v>1</v>
      </c>
      <c r="U100" s="31"/>
    </row>
    <row r="101" spans="1:22" x14ac:dyDescent="0.45">
      <c r="A101" s="8"/>
      <c r="B101" s="8"/>
      <c r="C101" s="8" t="s">
        <v>98</v>
      </c>
      <c r="D101" s="8"/>
      <c r="E101" s="12">
        <v>1119.26</v>
      </c>
      <c r="F101" s="12">
        <v>1123.75</v>
      </c>
      <c r="G101" s="12">
        <v>1133.8900000000001</v>
      </c>
      <c r="H101" s="12">
        <v>1132.79</v>
      </c>
      <c r="I101" s="12">
        <v>1139.93</v>
      </c>
      <c r="J101" s="12">
        <v>1141.74</v>
      </c>
      <c r="K101" s="12">
        <v>1148.77</v>
      </c>
      <c r="L101" s="12">
        <v>1151.06</v>
      </c>
      <c r="M101" s="12">
        <v>1155.67</v>
      </c>
      <c r="N101" s="12">
        <v>1162.1600000000001</v>
      </c>
      <c r="O101" s="12">
        <v>1164.6500000000001</v>
      </c>
      <c r="P101" s="12">
        <v>1171.18</v>
      </c>
      <c r="Q101" s="10">
        <f t="shared" si="31"/>
        <v>13744.85</v>
      </c>
      <c r="R101" s="10">
        <f>(U101)*($W$2/12)</f>
        <v>0</v>
      </c>
      <c r="S101" s="17"/>
      <c r="T101" s="16"/>
      <c r="U101" s="32"/>
    </row>
    <row r="102" spans="1:22" x14ac:dyDescent="0.45">
      <c r="A102" s="7"/>
      <c r="B102" s="7" t="s">
        <v>99</v>
      </c>
      <c r="C102" s="7"/>
      <c r="D102" s="7"/>
      <c r="E102" s="19">
        <f t="shared" ref="E102:S102" si="32">SUM(E98:E101)</f>
        <v>2974.26</v>
      </c>
      <c r="F102" s="19">
        <f t="shared" si="32"/>
        <v>2974.26</v>
      </c>
      <c r="G102" s="19">
        <f t="shared" si="32"/>
        <v>2974.26</v>
      </c>
      <c r="H102" s="19">
        <f t="shared" si="32"/>
        <v>2974.2599999999998</v>
      </c>
      <c r="I102" s="19">
        <f t="shared" si="32"/>
        <v>2974.26</v>
      </c>
      <c r="J102" s="19">
        <f t="shared" si="32"/>
        <v>2974.26</v>
      </c>
      <c r="K102" s="19">
        <f t="shared" si="32"/>
        <v>4730.42</v>
      </c>
      <c r="L102" s="19">
        <f t="shared" si="32"/>
        <v>1218.0999999999999</v>
      </c>
      <c r="M102" s="19">
        <f t="shared" si="32"/>
        <v>2803.6000000000004</v>
      </c>
      <c r="N102" s="19">
        <f t="shared" si="32"/>
        <v>2803.6000000000004</v>
      </c>
      <c r="O102" s="19">
        <f t="shared" si="32"/>
        <v>2803.6000000000004</v>
      </c>
      <c r="P102" s="19">
        <f t="shared" si="32"/>
        <v>2803.6000000000004</v>
      </c>
      <c r="Q102" s="15">
        <f t="shared" si="32"/>
        <v>35008.480000000003</v>
      </c>
      <c r="R102" s="15">
        <f t="shared" si="32"/>
        <v>33643.199999999997</v>
      </c>
      <c r="S102" s="15">
        <f t="shared" si="32"/>
        <v>1365.2800000000025</v>
      </c>
      <c r="T102" s="18">
        <f t="shared" ref="T102" si="33">IF(R102,Q102/R102,0)</f>
        <v>1.0405811575593287</v>
      </c>
      <c r="U102" s="33"/>
      <c r="V102" s="3"/>
    </row>
    <row r="103" spans="1:22" x14ac:dyDescent="0.45">
      <c r="A103" s="8"/>
      <c r="B103" s="8"/>
      <c r="C103" s="8"/>
      <c r="D103" s="8"/>
      <c r="Q103" s="8"/>
      <c r="R103" s="8"/>
      <c r="S103" s="8"/>
      <c r="T103" s="16"/>
      <c r="U103" s="8"/>
    </row>
    <row r="104" spans="1:22" x14ac:dyDescent="0.45">
      <c r="A104" s="8"/>
      <c r="B104" s="8"/>
      <c r="C104" s="8"/>
      <c r="D104" s="8"/>
      <c r="Q104" s="8"/>
      <c r="R104" s="8"/>
      <c r="S104" s="8"/>
      <c r="T104" s="16"/>
      <c r="U104" s="8"/>
    </row>
    <row r="105" spans="1:22" x14ac:dyDescent="0.45">
      <c r="A105" s="8"/>
      <c r="B105" s="7" t="s">
        <v>100</v>
      </c>
      <c r="C105" s="8"/>
      <c r="D105" s="8"/>
      <c r="Q105" s="8"/>
      <c r="R105" s="8"/>
      <c r="S105" s="8"/>
      <c r="T105" s="16"/>
      <c r="U105" s="8"/>
    </row>
    <row r="106" spans="1:22" x14ac:dyDescent="0.45">
      <c r="A106" s="8"/>
      <c r="B106" s="7"/>
      <c r="C106" s="8" t="s">
        <v>101</v>
      </c>
      <c r="D106" s="8"/>
      <c r="E106" s="11">
        <v>0</v>
      </c>
      <c r="F106" s="11"/>
      <c r="G106" s="11"/>
      <c r="H106" s="11"/>
      <c r="I106" s="11"/>
      <c r="J106" s="11"/>
      <c r="K106" s="11">
        <v>450</v>
      </c>
      <c r="L106" s="11"/>
      <c r="M106" s="11"/>
      <c r="N106" s="11"/>
      <c r="O106" s="11"/>
      <c r="P106" s="11"/>
      <c r="Q106" s="10">
        <f t="shared" ref="Q106:Q118" si="34">SUM(E106:P106)</f>
        <v>450</v>
      </c>
      <c r="R106" s="10">
        <f>(U106)*($W$2/12)</f>
        <v>0</v>
      </c>
      <c r="S106" s="10">
        <f>Q106-R106</f>
        <v>450</v>
      </c>
      <c r="T106" s="16">
        <f t="shared" ref="T106:T119" si="35">IF(R106,Q106/R106,0)</f>
        <v>0</v>
      </c>
      <c r="U106" s="8"/>
    </row>
    <row r="107" spans="1:22" x14ac:dyDescent="0.45">
      <c r="A107" s="8"/>
      <c r="B107" s="8"/>
      <c r="C107" s="8" t="s">
        <v>102</v>
      </c>
      <c r="D107" s="8"/>
      <c r="E107" s="11">
        <v>0.59</v>
      </c>
      <c r="F107" s="11"/>
      <c r="G107" s="11"/>
      <c r="H107" s="11"/>
      <c r="I107" s="11"/>
      <c r="J107" s="11"/>
      <c r="K107" s="11">
        <v>450</v>
      </c>
      <c r="L107" s="11"/>
      <c r="M107" s="11"/>
      <c r="N107" s="11"/>
      <c r="O107" s="11"/>
      <c r="P107" s="11"/>
      <c r="Q107" s="10">
        <f t="shared" si="34"/>
        <v>450.59</v>
      </c>
      <c r="R107" s="10">
        <v>20</v>
      </c>
      <c r="S107" s="22">
        <f>Q107-R107</f>
        <v>430.59</v>
      </c>
      <c r="T107" s="16">
        <f t="shared" si="35"/>
        <v>22.529499999999999</v>
      </c>
      <c r="U107" s="10"/>
    </row>
    <row r="108" spans="1:22" x14ac:dyDescent="0.45">
      <c r="A108" s="8"/>
      <c r="B108" s="8"/>
      <c r="C108" s="8" t="s">
        <v>103</v>
      </c>
      <c r="D108" s="8"/>
      <c r="E108" s="11"/>
      <c r="F108" s="11">
        <v>37.18</v>
      </c>
      <c r="G108" s="11">
        <v>95</v>
      </c>
      <c r="H108" s="11">
        <v>65</v>
      </c>
      <c r="I108" s="11">
        <v>165</v>
      </c>
      <c r="J108" s="11"/>
      <c r="K108" s="11"/>
      <c r="L108" s="11"/>
      <c r="M108" s="11">
        <v>35</v>
      </c>
      <c r="N108" s="11"/>
      <c r="O108" s="11"/>
      <c r="P108" s="11"/>
      <c r="Q108" s="10">
        <f t="shared" si="34"/>
        <v>397.18</v>
      </c>
      <c r="R108" s="10">
        <v>1200</v>
      </c>
      <c r="S108" s="22">
        <f t="shared" ref="S108:S118" si="36">Q108-R108</f>
        <v>-802.81999999999994</v>
      </c>
      <c r="T108" s="16">
        <f t="shared" si="35"/>
        <v>0.33098333333333335</v>
      </c>
      <c r="U108" s="10"/>
    </row>
    <row r="109" spans="1:22" x14ac:dyDescent="0.45">
      <c r="A109" s="8"/>
      <c r="B109" s="8"/>
      <c r="C109" s="8" t="s">
        <v>104</v>
      </c>
      <c r="D109" s="8"/>
      <c r="E109" s="11">
        <v>29.99</v>
      </c>
      <c r="F109" s="11">
        <v>29.99</v>
      </c>
      <c r="G109" s="11">
        <v>29.99</v>
      </c>
      <c r="H109" s="11">
        <v>29.99</v>
      </c>
      <c r="I109" s="11">
        <v>29.99</v>
      </c>
      <c r="J109" s="11">
        <v>29.99</v>
      </c>
      <c r="K109" s="11">
        <v>29.99</v>
      </c>
      <c r="L109" s="11">
        <f>125+29.99</f>
        <v>154.99</v>
      </c>
      <c r="M109" s="11">
        <v>29.99</v>
      </c>
      <c r="N109" s="11">
        <v>29.99</v>
      </c>
      <c r="O109" s="11">
        <f>29.99+59.95</f>
        <v>89.94</v>
      </c>
      <c r="P109" s="11">
        <v>29.99</v>
      </c>
      <c r="Q109" s="10">
        <f t="shared" si="34"/>
        <v>544.83000000000004</v>
      </c>
      <c r="R109" s="10">
        <v>125</v>
      </c>
      <c r="S109" s="22">
        <f t="shared" si="36"/>
        <v>419.83000000000004</v>
      </c>
      <c r="T109" s="16">
        <f t="shared" si="35"/>
        <v>4.3586400000000003</v>
      </c>
      <c r="U109" s="10"/>
    </row>
    <row r="110" spans="1:22" x14ac:dyDescent="0.45">
      <c r="A110" s="8"/>
      <c r="B110" s="8"/>
      <c r="C110" s="8" t="s">
        <v>105</v>
      </c>
      <c r="D110" s="8"/>
      <c r="E110" s="11">
        <v>281.93</v>
      </c>
      <c r="F110" s="11">
        <v>281.93</v>
      </c>
      <c r="G110" s="11">
        <v>281.93</v>
      </c>
      <c r="H110" s="11">
        <v>433.01</v>
      </c>
      <c r="I110" s="11">
        <v>281.93</v>
      </c>
      <c r="J110" s="11">
        <v>281.93</v>
      </c>
      <c r="K110" s="11">
        <v>640.92999999999995</v>
      </c>
      <c r="L110" s="11">
        <v>281.93</v>
      </c>
      <c r="M110" s="11"/>
      <c r="N110" s="11">
        <v>704.03</v>
      </c>
      <c r="O110" s="11"/>
      <c r="P110" s="11">
        <v>281.93</v>
      </c>
      <c r="Q110" s="10">
        <f t="shared" si="34"/>
        <v>3751.48</v>
      </c>
      <c r="R110" s="10">
        <v>3500</v>
      </c>
      <c r="S110" s="22">
        <f t="shared" si="36"/>
        <v>251.48000000000002</v>
      </c>
      <c r="T110" s="16">
        <f t="shared" si="35"/>
        <v>1.0718514285714287</v>
      </c>
      <c r="U110" s="10"/>
    </row>
    <row r="111" spans="1:22" x14ac:dyDescent="0.45">
      <c r="A111" s="8"/>
      <c r="B111" s="8"/>
      <c r="C111" s="8" t="s">
        <v>106</v>
      </c>
      <c r="D111" s="8"/>
      <c r="E111" s="11">
        <v>409.32</v>
      </c>
      <c r="F111" s="11">
        <v>144.54</v>
      </c>
      <c r="G111" s="11">
        <v>429.64</v>
      </c>
      <c r="H111" s="11">
        <v>42.37</v>
      </c>
      <c r="I111" s="11"/>
      <c r="J111" s="11">
        <v>549.92999999999995</v>
      </c>
      <c r="K111" s="11">
        <v>247.85</v>
      </c>
      <c r="L111" s="11">
        <v>-30.7</v>
      </c>
      <c r="M111" s="11"/>
      <c r="N111" s="11">
        <v>317.16000000000003</v>
      </c>
      <c r="O111" s="11"/>
      <c r="P111" s="11">
        <v>200.97</v>
      </c>
      <c r="Q111" s="10">
        <f t="shared" si="34"/>
        <v>2311.0799999999995</v>
      </c>
      <c r="R111" s="10">
        <v>1600</v>
      </c>
      <c r="S111" s="22">
        <f t="shared" si="36"/>
        <v>711.07999999999947</v>
      </c>
      <c r="T111" s="16">
        <f t="shared" si="35"/>
        <v>1.4444249999999996</v>
      </c>
      <c r="U111" s="10"/>
    </row>
    <row r="112" spans="1:22" x14ac:dyDescent="0.45">
      <c r="A112" s="8"/>
      <c r="B112" s="8"/>
      <c r="C112" s="8" t="s">
        <v>107</v>
      </c>
      <c r="D112" s="8"/>
      <c r="E112" s="11">
        <v>192.16</v>
      </c>
      <c r="F112" s="11">
        <v>111.2</v>
      </c>
      <c r="G112" s="11">
        <v>114.07</v>
      </c>
      <c r="H112" s="11">
        <v>106.2</v>
      </c>
      <c r="I112" s="11">
        <v>106.2</v>
      </c>
      <c r="J112" s="11">
        <v>114.07</v>
      </c>
      <c r="K112" s="11">
        <v>106.2</v>
      </c>
      <c r="L112" s="11">
        <v>104.47</v>
      </c>
      <c r="M112" s="11">
        <v>110.61</v>
      </c>
      <c r="N112" s="11">
        <v>103.95</v>
      </c>
      <c r="O112" s="11">
        <v>102.74</v>
      </c>
      <c r="P112" s="11">
        <v>111.82</v>
      </c>
      <c r="Q112" s="10">
        <f t="shared" si="34"/>
        <v>1383.69</v>
      </c>
      <c r="R112" s="10">
        <v>1265</v>
      </c>
      <c r="S112" s="22">
        <f t="shared" si="36"/>
        <v>118.69000000000005</v>
      </c>
      <c r="T112" s="16">
        <f t="shared" si="35"/>
        <v>1.0938260869565217</v>
      </c>
      <c r="U112" s="10"/>
    </row>
    <row r="113" spans="1:22" x14ac:dyDescent="0.45">
      <c r="A113" s="8"/>
      <c r="B113" s="8"/>
      <c r="C113" s="8" t="s">
        <v>108</v>
      </c>
      <c r="D113" s="8"/>
      <c r="E113" s="11">
        <v>110</v>
      </c>
      <c r="F113" s="11">
        <v>55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0">
        <f t="shared" si="34"/>
        <v>165</v>
      </c>
      <c r="R113" s="10">
        <v>480</v>
      </c>
      <c r="S113" s="22">
        <f t="shared" si="36"/>
        <v>-315</v>
      </c>
      <c r="T113" s="16">
        <f t="shared" si="35"/>
        <v>0.34375</v>
      </c>
      <c r="U113" s="10"/>
    </row>
    <row r="114" spans="1:22" x14ac:dyDescent="0.45">
      <c r="A114" s="8"/>
      <c r="B114" s="8"/>
      <c r="C114" s="8" t="s">
        <v>109</v>
      </c>
      <c r="D114" s="8"/>
      <c r="E114" s="11">
        <v>0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0">
        <f t="shared" si="34"/>
        <v>0</v>
      </c>
      <c r="R114" s="10">
        <f>(U114)*($W$2/12)</f>
        <v>0</v>
      </c>
      <c r="S114" s="22">
        <f t="shared" si="36"/>
        <v>0</v>
      </c>
      <c r="T114" s="16">
        <f t="shared" si="35"/>
        <v>0</v>
      </c>
      <c r="U114" s="10"/>
    </row>
    <row r="115" spans="1:22" x14ac:dyDescent="0.45">
      <c r="A115" s="8"/>
      <c r="B115" s="8"/>
      <c r="C115" s="8" t="s">
        <v>110</v>
      </c>
      <c r="D115" s="8"/>
      <c r="E115" s="11">
        <v>104.7</v>
      </c>
      <c r="F115" s="11"/>
      <c r="G115" s="11">
        <v>104.7</v>
      </c>
      <c r="H115" s="11"/>
      <c r="I115" s="11">
        <v>656.01</v>
      </c>
      <c r="J115" s="11"/>
      <c r="K115" s="11"/>
      <c r="L115" s="11">
        <v>104.7</v>
      </c>
      <c r="M115" s="11">
        <v>674.69</v>
      </c>
      <c r="N115" s="11">
        <v>104.7</v>
      </c>
      <c r="O115" s="11">
        <v>104.7</v>
      </c>
      <c r="P115" s="11"/>
      <c r="Q115" s="10">
        <f t="shared" si="34"/>
        <v>1854.2000000000003</v>
      </c>
      <c r="R115" s="10">
        <v>1936</v>
      </c>
      <c r="S115" s="22">
        <f t="shared" si="36"/>
        <v>-81.799999999999727</v>
      </c>
      <c r="T115" s="16">
        <f t="shared" si="35"/>
        <v>0.95774793388429769</v>
      </c>
      <c r="U115" s="10"/>
    </row>
    <row r="116" spans="1:22" x14ac:dyDescent="0.45">
      <c r="A116" s="8"/>
      <c r="B116" s="8"/>
      <c r="C116" s="34" t="s">
        <v>111</v>
      </c>
      <c r="D116" s="8"/>
      <c r="E116" s="11"/>
      <c r="F116" s="11"/>
      <c r="G116" s="11"/>
      <c r="H116" s="11">
        <v>32.69</v>
      </c>
      <c r="I116" s="11">
        <v>6.86</v>
      </c>
      <c r="J116" s="11">
        <v>78.8</v>
      </c>
      <c r="K116" s="11">
        <v>12.41</v>
      </c>
      <c r="L116" s="11">
        <v>7.12</v>
      </c>
      <c r="M116" s="11">
        <v>13.13</v>
      </c>
      <c r="N116" s="11">
        <v>138.57</v>
      </c>
      <c r="O116" s="11">
        <v>83.76</v>
      </c>
      <c r="P116" s="11">
        <v>70.680000000000007</v>
      </c>
      <c r="Q116" s="10">
        <f>SUM(E116:P116)</f>
        <v>444.02</v>
      </c>
      <c r="R116" s="10">
        <v>0</v>
      </c>
      <c r="S116" s="22">
        <f t="shared" si="36"/>
        <v>444.02</v>
      </c>
      <c r="T116" s="16">
        <f t="shared" si="35"/>
        <v>0</v>
      </c>
      <c r="U116" s="10"/>
    </row>
    <row r="117" spans="1:22" x14ac:dyDescent="0.45">
      <c r="A117" s="8"/>
      <c r="B117" s="8"/>
      <c r="C117" s="8" t="s">
        <v>112</v>
      </c>
      <c r="D117" s="8"/>
      <c r="E117" s="27">
        <v>14.95</v>
      </c>
      <c r="F117" s="27">
        <v>14.95</v>
      </c>
      <c r="G117" s="27">
        <v>14.95</v>
      </c>
      <c r="H117" s="27">
        <v>14.95</v>
      </c>
      <c r="I117" s="27">
        <v>14.95</v>
      </c>
      <c r="J117" s="27">
        <v>14.95</v>
      </c>
      <c r="K117" s="27">
        <v>14.95</v>
      </c>
      <c r="L117" s="27">
        <v>14.95</v>
      </c>
      <c r="M117" s="27">
        <v>14.95</v>
      </c>
      <c r="N117" s="27">
        <v>14.95</v>
      </c>
      <c r="O117" s="27">
        <v>14.95</v>
      </c>
      <c r="P117" s="27">
        <v>14.95</v>
      </c>
      <c r="Q117" s="10">
        <f t="shared" si="34"/>
        <v>179.39999999999998</v>
      </c>
      <c r="R117" s="10">
        <v>650</v>
      </c>
      <c r="S117" s="23">
        <f t="shared" si="36"/>
        <v>-470.6</v>
      </c>
      <c r="T117" s="16">
        <f t="shared" si="35"/>
        <v>0.27599999999999997</v>
      </c>
      <c r="U117" s="17"/>
    </row>
    <row r="118" spans="1:22" x14ac:dyDescent="0.45">
      <c r="A118" s="8"/>
      <c r="B118" s="8"/>
      <c r="C118" s="8" t="s">
        <v>113</v>
      </c>
      <c r="D118" s="8"/>
      <c r="E118" s="12">
        <v>16</v>
      </c>
      <c r="F118" s="12"/>
      <c r="G118" s="12"/>
      <c r="H118" s="12"/>
      <c r="I118" s="12"/>
      <c r="J118" s="12"/>
      <c r="K118" s="12"/>
      <c r="L118" s="12"/>
      <c r="M118" s="12"/>
      <c r="N118" s="12">
        <v>10.52</v>
      </c>
      <c r="O118" s="12"/>
      <c r="P118" s="12">
        <v>-16.3</v>
      </c>
      <c r="Q118" s="10">
        <f t="shared" si="34"/>
        <v>10.219999999999999</v>
      </c>
      <c r="R118" s="10">
        <v>0</v>
      </c>
      <c r="S118" s="23">
        <f t="shared" si="36"/>
        <v>10.219999999999999</v>
      </c>
      <c r="T118" s="16">
        <f t="shared" si="35"/>
        <v>0</v>
      </c>
      <c r="U118" s="17"/>
    </row>
    <row r="119" spans="1:22" x14ac:dyDescent="0.45">
      <c r="A119" s="7"/>
      <c r="B119" s="7" t="s">
        <v>114</v>
      </c>
      <c r="C119" s="7"/>
      <c r="D119" s="7"/>
      <c r="E119" s="19">
        <f t="shared" ref="E119:Q119" si="37">SUM(E106:E118)</f>
        <v>1159.6399999999999</v>
      </c>
      <c r="F119" s="19">
        <f t="shared" si="37"/>
        <v>674.79000000000008</v>
      </c>
      <c r="G119" s="19">
        <f t="shared" si="37"/>
        <v>1070.28</v>
      </c>
      <c r="H119" s="19">
        <f t="shared" si="37"/>
        <v>724.21</v>
      </c>
      <c r="I119" s="19">
        <f t="shared" si="37"/>
        <v>1260.94</v>
      </c>
      <c r="J119" s="19">
        <f t="shared" si="37"/>
        <v>1069.6699999999998</v>
      </c>
      <c r="K119" s="19">
        <f t="shared" si="37"/>
        <v>1952.3300000000002</v>
      </c>
      <c r="L119" s="19">
        <f t="shared" si="37"/>
        <v>637.46000000000015</v>
      </c>
      <c r="M119" s="19">
        <f t="shared" si="37"/>
        <v>878.37000000000012</v>
      </c>
      <c r="N119" s="19">
        <f t="shared" si="37"/>
        <v>1423.8700000000001</v>
      </c>
      <c r="O119" s="19">
        <f t="shared" si="37"/>
        <v>396.09</v>
      </c>
      <c r="P119" s="19">
        <f t="shared" si="37"/>
        <v>694.04000000000019</v>
      </c>
      <c r="Q119" s="15">
        <f t="shared" si="37"/>
        <v>11941.69</v>
      </c>
      <c r="R119" s="15">
        <f>SUM(R106:R118)</f>
        <v>10776</v>
      </c>
      <c r="S119" s="15">
        <f>SUM(S106:S118)</f>
        <v>1165.6899999999998</v>
      </c>
      <c r="T119" s="18">
        <f t="shared" si="35"/>
        <v>1.1081746473645138</v>
      </c>
      <c r="U119" s="33"/>
      <c r="V119" s="3"/>
    </row>
    <row r="120" spans="1:22" x14ac:dyDescent="0.45">
      <c r="A120" s="8"/>
      <c r="B120" s="8"/>
      <c r="C120" s="8"/>
      <c r="D120" s="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8"/>
      <c r="R120" s="22"/>
      <c r="S120" s="22"/>
      <c r="T120" s="16"/>
      <c r="U120" s="8"/>
    </row>
    <row r="121" spans="1:22" x14ac:dyDescent="0.45">
      <c r="A121" s="8"/>
      <c r="B121" s="7" t="s">
        <v>115</v>
      </c>
      <c r="C121" s="8"/>
      <c r="D121" s="8"/>
      <c r="Q121" s="8"/>
      <c r="R121" s="8"/>
      <c r="S121" s="8"/>
      <c r="T121" s="16"/>
      <c r="U121" s="8"/>
    </row>
    <row r="122" spans="1:22" x14ac:dyDescent="0.45">
      <c r="A122" s="8"/>
      <c r="B122" s="8"/>
      <c r="C122" s="8" t="s">
        <v>116</v>
      </c>
      <c r="D122" s="8"/>
      <c r="E122" s="11">
        <v>0</v>
      </c>
      <c r="F122" s="11"/>
      <c r="G122" s="11"/>
      <c r="H122" s="11">
        <v>2697.63</v>
      </c>
      <c r="I122" s="11"/>
      <c r="J122" s="11">
        <v>615</v>
      </c>
      <c r="K122" s="11">
        <v>2730.06</v>
      </c>
      <c r="L122" s="11"/>
      <c r="M122" s="11">
        <v>2730.06</v>
      </c>
      <c r="N122" s="11">
        <v>34</v>
      </c>
      <c r="O122" s="11"/>
      <c r="P122" s="11"/>
      <c r="Q122" s="10">
        <f>SUM(E122:P122)-615</f>
        <v>8191.75</v>
      </c>
      <c r="R122" s="10">
        <v>13300</v>
      </c>
      <c r="S122" s="22">
        <f>Q122-R122</f>
        <v>-5108.25</v>
      </c>
      <c r="T122" s="16">
        <f t="shared" ref="T122:T133" si="38">IF(R122,Q122/R122,0)</f>
        <v>0.61592105263157892</v>
      </c>
      <c r="U122" s="10"/>
    </row>
    <row r="123" spans="1:22" x14ac:dyDescent="0.45">
      <c r="A123" s="8"/>
      <c r="B123" s="8"/>
      <c r="C123" s="8" t="s">
        <v>117</v>
      </c>
      <c r="D123" s="8"/>
      <c r="E123" s="11">
        <v>120</v>
      </c>
      <c r="F123" s="11"/>
      <c r="G123" s="11"/>
      <c r="H123" s="11"/>
      <c r="I123" s="11"/>
      <c r="J123" s="11"/>
      <c r="K123" s="11">
        <v>701.42</v>
      </c>
      <c r="L123" s="11">
        <v>701.42</v>
      </c>
      <c r="M123" s="11">
        <v>350.71</v>
      </c>
      <c r="N123" s="11">
        <v>350.71</v>
      </c>
      <c r="O123" s="11"/>
      <c r="P123" s="11">
        <v>3200</v>
      </c>
      <c r="Q123" s="10">
        <f t="shared" ref="Q123:Q132" si="39">SUM(E123:P123)</f>
        <v>5424.26</v>
      </c>
      <c r="R123" s="10">
        <v>6500</v>
      </c>
      <c r="S123" s="22">
        <f t="shared" ref="S123:S132" si="40">Q123-R123</f>
        <v>-1075.7399999999998</v>
      </c>
      <c r="T123" s="16">
        <f t="shared" si="38"/>
        <v>0.83450153846153852</v>
      </c>
      <c r="U123" s="10"/>
    </row>
    <row r="124" spans="1:22" x14ac:dyDescent="0.45">
      <c r="A124" s="8"/>
      <c r="B124" s="8"/>
      <c r="C124" s="8" t="s">
        <v>118</v>
      </c>
      <c r="D124" s="8"/>
      <c r="E124" s="11">
        <v>0</v>
      </c>
      <c r="F124" s="11">
        <v>1160</v>
      </c>
      <c r="G124" s="11">
        <v>290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10">
        <f t="shared" si="39"/>
        <v>1450</v>
      </c>
      <c r="R124" s="10">
        <v>4500</v>
      </c>
      <c r="S124" s="22">
        <f t="shared" si="40"/>
        <v>-3050</v>
      </c>
      <c r="T124" s="16">
        <f t="shared" si="38"/>
        <v>0.32222222222222224</v>
      </c>
      <c r="U124" s="10"/>
    </row>
    <row r="125" spans="1:22" x14ac:dyDescent="0.45">
      <c r="A125" s="8"/>
      <c r="B125" s="8"/>
      <c r="C125" s="8" t="s">
        <v>119</v>
      </c>
      <c r="D125" s="8"/>
      <c r="E125" s="11">
        <v>0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0">
        <f t="shared" si="39"/>
        <v>0</v>
      </c>
      <c r="R125" s="10">
        <v>10000</v>
      </c>
      <c r="S125" s="22">
        <f t="shared" si="40"/>
        <v>-10000</v>
      </c>
      <c r="T125" s="16">
        <f t="shared" si="38"/>
        <v>0</v>
      </c>
      <c r="U125" s="10"/>
    </row>
    <row r="126" spans="1:22" x14ac:dyDescent="0.45">
      <c r="A126" s="8"/>
      <c r="B126" s="8"/>
      <c r="C126" s="8" t="s">
        <v>120</v>
      </c>
      <c r="D126" s="8"/>
      <c r="E126" s="11">
        <v>504</v>
      </c>
      <c r="F126" s="11">
        <v>742.5</v>
      </c>
      <c r="G126" s="11">
        <v>271</v>
      </c>
      <c r="H126" s="11"/>
      <c r="I126" s="11"/>
      <c r="J126" s="11">
        <v>542</v>
      </c>
      <c r="K126" s="11">
        <v>1784</v>
      </c>
      <c r="L126" s="11">
        <v>542</v>
      </c>
      <c r="M126" s="11">
        <v>542</v>
      </c>
      <c r="N126" s="11">
        <v>542</v>
      </c>
      <c r="O126" s="11">
        <v>542</v>
      </c>
      <c r="P126" s="11">
        <v>542</v>
      </c>
      <c r="Q126" s="10">
        <f>SUM(E126:P126)</f>
        <v>6553.5</v>
      </c>
      <c r="R126" s="10">
        <v>6000</v>
      </c>
      <c r="S126" s="22">
        <f t="shared" si="40"/>
        <v>553.5</v>
      </c>
      <c r="T126" s="16">
        <f t="shared" si="38"/>
        <v>1.0922499999999999</v>
      </c>
      <c r="U126" s="10"/>
    </row>
    <row r="127" spans="1:22" x14ac:dyDescent="0.45">
      <c r="A127" s="8"/>
      <c r="B127" s="8"/>
      <c r="C127" s="8" t="s">
        <v>121</v>
      </c>
      <c r="D127" s="8"/>
      <c r="E127" s="11">
        <v>0</v>
      </c>
      <c r="F127" s="11"/>
      <c r="G127" s="11"/>
      <c r="H127" s="11"/>
      <c r="I127" s="11">
        <v>30.37</v>
      </c>
      <c r="J127" s="11">
        <v>75.239999999999995</v>
      </c>
      <c r="K127" s="11">
        <v>120.81</v>
      </c>
      <c r="L127" s="11">
        <v>62.55</v>
      </c>
      <c r="M127" s="11"/>
      <c r="N127" s="11">
        <v>140</v>
      </c>
      <c r="O127" s="11">
        <v>546.1</v>
      </c>
      <c r="P127" s="11"/>
      <c r="Q127" s="10">
        <f t="shared" si="39"/>
        <v>975.07</v>
      </c>
      <c r="R127" s="10">
        <v>5000</v>
      </c>
      <c r="S127" s="22">
        <f t="shared" si="40"/>
        <v>-4024.93</v>
      </c>
      <c r="T127" s="16">
        <f t="shared" si="38"/>
        <v>0.19501400000000002</v>
      </c>
      <c r="U127" s="10"/>
    </row>
    <row r="128" spans="1:22" x14ac:dyDescent="0.45">
      <c r="A128" s="8"/>
      <c r="B128" s="8"/>
      <c r="C128" s="8" t="s">
        <v>122</v>
      </c>
      <c r="D128" s="8"/>
      <c r="E128" s="11">
        <v>0</v>
      </c>
      <c r="F128" s="11">
        <v>204</v>
      </c>
      <c r="G128" s="11"/>
      <c r="H128" s="11"/>
      <c r="I128" s="11">
        <v>204</v>
      </c>
      <c r="J128" s="11">
        <v>575</v>
      </c>
      <c r="K128" s="11">
        <v>282.7</v>
      </c>
      <c r="L128" s="11">
        <v>204</v>
      </c>
      <c r="M128" s="11"/>
      <c r="N128" s="11"/>
      <c r="O128" s="11">
        <v>390.5</v>
      </c>
      <c r="P128" s="11"/>
      <c r="Q128" s="10">
        <f t="shared" si="39"/>
        <v>1860.2</v>
      </c>
      <c r="R128" s="10">
        <v>1600</v>
      </c>
      <c r="S128" s="22">
        <f t="shared" si="40"/>
        <v>260.20000000000005</v>
      </c>
      <c r="T128" s="16">
        <f t="shared" si="38"/>
        <v>1.162625</v>
      </c>
      <c r="U128" s="10"/>
    </row>
    <row r="129" spans="1:22" x14ac:dyDescent="0.45">
      <c r="A129" s="8"/>
      <c r="B129" s="8"/>
      <c r="C129" s="8" t="s">
        <v>123</v>
      </c>
      <c r="D129" s="8"/>
      <c r="E129" s="11">
        <v>0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>
        <v>695</v>
      </c>
      <c r="Q129" s="10">
        <f t="shared" si="39"/>
        <v>695</v>
      </c>
      <c r="R129" s="10">
        <v>1200</v>
      </c>
      <c r="S129" s="22">
        <f t="shared" si="40"/>
        <v>-505</v>
      </c>
      <c r="T129" s="16">
        <f t="shared" si="38"/>
        <v>0.57916666666666672</v>
      </c>
      <c r="U129" s="10"/>
    </row>
    <row r="130" spans="1:22" x14ac:dyDescent="0.45">
      <c r="A130" s="8"/>
      <c r="B130" s="8"/>
      <c r="C130" s="8" t="s">
        <v>124</v>
      </c>
      <c r="D130" s="8"/>
      <c r="E130" s="11">
        <f>238.95+617.71</f>
        <v>856.66000000000008</v>
      </c>
      <c r="F130" s="11">
        <f>286.14</f>
        <v>286.14</v>
      </c>
      <c r="G130" s="11">
        <f>250.75+610.89</f>
        <v>861.64</v>
      </c>
      <c r="H130" s="11">
        <f>463.07+522.78</f>
        <v>985.84999999999991</v>
      </c>
      <c r="I130" s="11">
        <v>311.66000000000003</v>
      </c>
      <c r="J130" s="11">
        <f>324.56+246.03</f>
        <v>570.59</v>
      </c>
      <c r="K130" s="11">
        <f>584.56+135.83</f>
        <v>720.39</v>
      </c>
      <c r="L130" s="11">
        <f>667.62+264.91</f>
        <v>932.53</v>
      </c>
      <c r="M130" s="11">
        <v>598.46</v>
      </c>
      <c r="N130" s="11">
        <f>357.03+486.91</f>
        <v>843.94</v>
      </c>
      <c r="O130" s="11">
        <v>211.43</v>
      </c>
      <c r="P130" s="11">
        <v>685.6</v>
      </c>
      <c r="Q130" s="10">
        <f t="shared" si="39"/>
        <v>7864.8900000000012</v>
      </c>
      <c r="R130" s="10">
        <v>10000</v>
      </c>
      <c r="S130" s="22">
        <f t="shared" si="40"/>
        <v>-2135.1099999999988</v>
      </c>
      <c r="T130" s="16">
        <f t="shared" si="38"/>
        <v>0.7864890000000001</v>
      </c>
      <c r="U130" s="10"/>
    </row>
    <row r="131" spans="1:22" x14ac:dyDescent="0.45">
      <c r="A131" s="8"/>
      <c r="B131" s="8"/>
      <c r="C131" s="8" t="s">
        <v>125</v>
      </c>
      <c r="D131" s="8"/>
      <c r="E131" s="11">
        <v>0</v>
      </c>
      <c r="F131" s="11">
        <v>89.81</v>
      </c>
      <c r="G131" s="11">
        <v>89.2</v>
      </c>
      <c r="H131" s="11"/>
      <c r="I131" s="11"/>
      <c r="J131" s="11"/>
      <c r="K131" s="11">
        <v>112.73</v>
      </c>
      <c r="L131" s="11"/>
      <c r="M131" s="11">
        <v>86.87</v>
      </c>
      <c r="N131" s="11">
        <v>187.32</v>
      </c>
      <c r="O131" s="11"/>
      <c r="P131" s="11">
        <v>100.93</v>
      </c>
      <c r="Q131" s="10">
        <f t="shared" si="39"/>
        <v>666.86000000000013</v>
      </c>
      <c r="R131" s="10">
        <v>750</v>
      </c>
      <c r="S131" s="22">
        <f t="shared" si="40"/>
        <v>-83.139999999999873</v>
      </c>
      <c r="T131" s="16">
        <f t="shared" si="38"/>
        <v>0.88914666666666686</v>
      </c>
      <c r="U131" s="10"/>
    </row>
    <row r="132" spans="1:22" x14ac:dyDescent="0.45">
      <c r="A132" s="8"/>
      <c r="B132" s="8"/>
      <c r="C132" s="8" t="s">
        <v>126</v>
      </c>
      <c r="D132" s="8"/>
      <c r="E132" s="12">
        <v>64.09</v>
      </c>
      <c r="F132" s="12">
        <v>54.44</v>
      </c>
      <c r="G132" s="12">
        <v>74.150000000000006</v>
      </c>
      <c r="H132" s="12">
        <v>62.8</v>
      </c>
      <c r="I132" s="12"/>
      <c r="J132" s="12">
        <v>212.02</v>
      </c>
      <c r="K132" s="12">
        <v>67.2</v>
      </c>
      <c r="L132" s="12">
        <v>48.01</v>
      </c>
      <c r="M132" s="12">
        <v>89.77</v>
      </c>
      <c r="N132" s="12">
        <v>45.96</v>
      </c>
      <c r="O132" s="12">
        <v>50.95</v>
      </c>
      <c r="P132" s="12">
        <v>40.97</v>
      </c>
      <c r="Q132" s="10">
        <f t="shared" si="39"/>
        <v>810.36000000000013</v>
      </c>
      <c r="R132" s="10">
        <v>800</v>
      </c>
      <c r="S132" s="23">
        <f t="shared" si="40"/>
        <v>10.360000000000127</v>
      </c>
      <c r="T132" s="16">
        <f t="shared" si="38"/>
        <v>1.0129500000000002</v>
      </c>
      <c r="U132" s="17"/>
    </row>
    <row r="133" spans="1:22" x14ac:dyDescent="0.45">
      <c r="A133" s="7"/>
      <c r="B133" s="7" t="s">
        <v>127</v>
      </c>
      <c r="C133" s="7"/>
      <c r="D133" s="7"/>
      <c r="E133" s="19">
        <f t="shared" ref="E133:Q133" si="41">SUM(E122:E132)</f>
        <v>1544.75</v>
      </c>
      <c r="F133" s="19">
        <f t="shared" si="41"/>
        <v>2536.89</v>
      </c>
      <c r="G133" s="19">
        <f t="shared" si="41"/>
        <v>1585.99</v>
      </c>
      <c r="H133" s="19">
        <f t="shared" si="41"/>
        <v>3746.28</v>
      </c>
      <c r="I133" s="19">
        <f t="shared" si="41"/>
        <v>546.03</v>
      </c>
      <c r="J133" s="19">
        <f t="shared" si="41"/>
        <v>2589.85</v>
      </c>
      <c r="K133" s="19">
        <f t="shared" si="41"/>
        <v>6519.3099999999995</v>
      </c>
      <c r="L133" s="19">
        <f t="shared" si="41"/>
        <v>2490.5100000000002</v>
      </c>
      <c r="M133" s="19">
        <f t="shared" si="41"/>
        <v>4397.87</v>
      </c>
      <c r="N133" s="19">
        <f t="shared" si="41"/>
        <v>2143.9300000000003</v>
      </c>
      <c r="O133" s="19">
        <f t="shared" si="41"/>
        <v>1740.98</v>
      </c>
      <c r="P133" s="19">
        <f t="shared" si="41"/>
        <v>5264.5000000000009</v>
      </c>
      <c r="Q133" s="15">
        <f t="shared" si="41"/>
        <v>34491.890000000007</v>
      </c>
      <c r="R133" s="15">
        <f t="shared" ref="R133:S133" si="42">SUM(R122:R132)</f>
        <v>59650</v>
      </c>
      <c r="S133" s="15">
        <f t="shared" si="42"/>
        <v>-25158.109999999993</v>
      </c>
      <c r="T133" s="18">
        <f t="shared" si="38"/>
        <v>0.57823788767812245</v>
      </c>
      <c r="U133" s="15"/>
      <c r="V133" s="3"/>
    </row>
    <row r="134" spans="1:22" x14ac:dyDescent="0.45">
      <c r="A134" s="8"/>
      <c r="B134" s="8"/>
      <c r="C134" s="8"/>
      <c r="D134" s="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22"/>
      <c r="R134" s="22"/>
      <c r="S134" s="22"/>
      <c r="T134" s="16"/>
      <c r="U134" s="8"/>
    </row>
    <row r="135" spans="1:22" x14ac:dyDescent="0.45">
      <c r="A135" s="8"/>
      <c r="B135" s="7" t="s">
        <v>128</v>
      </c>
      <c r="C135" s="8"/>
      <c r="D135" s="8"/>
      <c r="Q135" s="8"/>
      <c r="R135" s="8"/>
      <c r="S135" s="8"/>
      <c r="T135" s="16"/>
      <c r="U135" s="8"/>
    </row>
    <row r="136" spans="1:22" x14ac:dyDescent="0.45">
      <c r="A136" s="8"/>
      <c r="B136" s="8"/>
      <c r="C136" s="8" t="s">
        <v>129</v>
      </c>
      <c r="D136" s="8"/>
      <c r="E136" s="11">
        <v>177.77</v>
      </c>
      <c r="F136" s="11"/>
      <c r="G136" s="11"/>
      <c r="H136" s="11">
        <v>48.59</v>
      </c>
      <c r="I136" s="11">
        <f>202+396.04</f>
        <v>598.04</v>
      </c>
      <c r="J136" s="11"/>
      <c r="K136" s="11"/>
      <c r="L136" s="11"/>
      <c r="M136" s="11"/>
      <c r="N136" s="11">
        <v>198</v>
      </c>
      <c r="O136" s="11"/>
      <c r="P136" s="11"/>
      <c r="Q136" s="10">
        <f t="shared" ref="Q136:Q137" si="43">SUM(E136:P136)</f>
        <v>1022.4</v>
      </c>
      <c r="R136" s="10">
        <v>1500</v>
      </c>
      <c r="S136" s="22">
        <f>Q136-R136</f>
        <v>-477.6</v>
      </c>
      <c r="T136" s="16">
        <f t="shared" ref="T136:T140" si="44">IF(R136,Q136/R136,0)</f>
        <v>0.68159999999999998</v>
      </c>
      <c r="U136" s="10"/>
    </row>
    <row r="137" spans="1:22" x14ac:dyDescent="0.45">
      <c r="A137" s="8"/>
      <c r="B137" s="8"/>
      <c r="C137" s="8" t="s">
        <v>130</v>
      </c>
      <c r="D137" s="8"/>
      <c r="E137" s="12">
        <v>158.18</v>
      </c>
      <c r="F137" s="12"/>
      <c r="G137" s="12">
        <v>100.99</v>
      </c>
      <c r="H137" s="12">
        <v>144.87</v>
      </c>
      <c r="I137" s="12">
        <v>61.77</v>
      </c>
      <c r="J137" s="12">
        <v>44.73</v>
      </c>
      <c r="K137" s="12">
        <v>87.37</v>
      </c>
      <c r="L137" s="12">
        <v>49.93</v>
      </c>
      <c r="M137" s="12"/>
      <c r="N137" s="12">
        <v>131.34</v>
      </c>
      <c r="O137" s="12">
        <v>0</v>
      </c>
      <c r="P137" s="12">
        <v>152.82</v>
      </c>
      <c r="Q137" s="10">
        <f t="shared" si="43"/>
        <v>932</v>
      </c>
      <c r="R137" s="10">
        <v>950</v>
      </c>
      <c r="S137" s="23">
        <f t="shared" ref="S137" si="45">Q137-R137</f>
        <v>-18</v>
      </c>
      <c r="T137" s="16">
        <f t="shared" si="44"/>
        <v>0.9810526315789474</v>
      </c>
      <c r="U137" s="17"/>
    </row>
    <row r="138" spans="1:22" x14ac:dyDescent="0.45">
      <c r="A138" s="7"/>
      <c r="B138" s="7" t="s">
        <v>131</v>
      </c>
      <c r="C138" s="7"/>
      <c r="D138" s="7"/>
      <c r="E138" s="19">
        <f t="shared" ref="E138:S138" si="46">SUM(E136:E137)</f>
        <v>335.95000000000005</v>
      </c>
      <c r="F138" s="19">
        <f t="shared" si="46"/>
        <v>0</v>
      </c>
      <c r="G138" s="19">
        <f t="shared" si="46"/>
        <v>100.99</v>
      </c>
      <c r="H138" s="19">
        <f t="shared" si="46"/>
        <v>193.46</v>
      </c>
      <c r="I138" s="19">
        <f t="shared" si="46"/>
        <v>659.81</v>
      </c>
      <c r="J138" s="19">
        <f t="shared" si="46"/>
        <v>44.73</v>
      </c>
      <c r="K138" s="19">
        <f t="shared" si="46"/>
        <v>87.37</v>
      </c>
      <c r="L138" s="19">
        <f t="shared" si="46"/>
        <v>49.93</v>
      </c>
      <c r="M138" s="19">
        <f t="shared" si="46"/>
        <v>0</v>
      </c>
      <c r="N138" s="19">
        <f t="shared" si="46"/>
        <v>329.34000000000003</v>
      </c>
      <c r="O138" s="19">
        <f t="shared" si="46"/>
        <v>0</v>
      </c>
      <c r="P138" s="19">
        <f t="shared" si="46"/>
        <v>152.82</v>
      </c>
      <c r="Q138" s="15">
        <f t="shared" si="46"/>
        <v>1954.4</v>
      </c>
      <c r="R138" s="24">
        <f t="shared" si="46"/>
        <v>2450</v>
      </c>
      <c r="S138" s="24">
        <f t="shared" si="46"/>
        <v>-495.6</v>
      </c>
      <c r="T138" s="18">
        <f t="shared" si="44"/>
        <v>0.79771428571428571</v>
      </c>
      <c r="U138" s="15"/>
      <c r="V138" s="3"/>
    </row>
    <row r="139" spans="1:22" x14ac:dyDescent="0.45">
      <c r="A139" s="8"/>
      <c r="B139" s="8"/>
      <c r="C139" s="8"/>
      <c r="D139" s="8"/>
      <c r="Q139" s="8"/>
      <c r="R139" s="8"/>
      <c r="S139" s="8"/>
      <c r="T139" s="16"/>
      <c r="U139" s="8"/>
    </row>
    <row r="140" spans="1:22" x14ac:dyDescent="0.45">
      <c r="A140" s="7" t="s">
        <v>132</v>
      </c>
      <c r="B140" s="7"/>
      <c r="C140" s="7"/>
      <c r="D140" s="7"/>
      <c r="E140" s="19">
        <f t="shared" ref="E140:S140" si="47">E102+E119+E133+E138</f>
        <v>6014.5999999999995</v>
      </c>
      <c r="F140" s="19">
        <f t="shared" si="47"/>
        <v>6185.9400000000005</v>
      </c>
      <c r="G140" s="19">
        <f t="shared" si="47"/>
        <v>5731.5199999999995</v>
      </c>
      <c r="H140" s="19">
        <f t="shared" si="47"/>
        <v>7638.21</v>
      </c>
      <c r="I140" s="19">
        <f t="shared" si="47"/>
        <v>5441.0400000000009</v>
      </c>
      <c r="J140" s="19">
        <f t="shared" si="47"/>
        <v>6678.51</v>
      </c>
      <c r="K140" s="19">
        <f t="shared" si="47"/>
        <v>13289.43</v>
      </c>
      <c r="L140" s="19">
        <f t="shared" si="47"/>
        <v>4396</v>
      </c>
      <c r="M140" s="19">
        <f t="shared" si="47"/>
        <v>8079.84</v>
      </c>
      <c r="N140" s="19">
        <f t="shared" si="47"/>
        <v>6700.7400000000007</v>
      </c>
      <c r="O140" s="19">
        <f t="shared" si="47"/>
        <v>4940.67</v>
      </c>
      <c r="P140" s="19">
        <f t="shared" si="47"/>
        <v>8914.9600000000009</v>
      </c>
      <c r="Q140" s="14">
        <f t="shared" si="47"/>
        <v>83396.460000000006</v>
      </c>
      <c r="R140" s="14">
        <f t="shared" si="47"/>
        <v>106519.2</v>
      </c>
      <c r="S140" s="14">
        <f t="shared" si="47"/>
        <v>-23122.739999999991</v>
      </c>
      <c r="T140" s="20">
        <f t="shared" si="44"/>
        <v>0.78292420521370798</v>
      </c>
      <c r="U140" s="30"/>
      <c r="V140" s="3"/>
    </row>
    <row r="141" spans="1:22" x14ac:dyDescent="0.45">
      <c r="A141" s="8"/>
      <c r="B141" s="8"/>
      <c r="C141" s="8"/>
      <c r="D141" s="8"/>
      <c r="Q141" s="8"/>
      <c r="R141" s="8"/>
      <c r="S141" s="8"/>
      <c r="T141" s="16"/>
      <c r="U141" s="8"/>
    </row>
    <row r="142" spans="1:22" x14ac:dyDescent="0.45">
      <c r="A142" s="8"/>
      <c r="B142" s="7" t="s">
        <v>133</v>
      </c>
      <c r="C142" s="8"/>
      <c r="D142" s="8"/>
      <c r="Q142" s="8"/>
      <c r="R142" s="8"/>
      <c r="S142" s="8"/>
      <c r="T142" s="16"/>
      <c r="U142" s="8"/>
    </row>
    <row r="143" spans="1:22" x14ac:dyDescent="0.45">
      <c r="A143" s="8"/>
      <c r="B143" s="8"/>
      <c r="C143" s="8" t="s">
        <v>134</v>
      </c>
      <c r="D143" s="8"/>
      <c r="E143" s="11">
        <v>2450</v>
      </c>
      <c r="F143" s="11">
        <v>2450</v>
      </c>
      <c r="G143" s="11">
        <v>2450</v>
      </c>
      <c r="H143" s="11">
        <v>2450</v>
      </c>
      <c r="I143" s="11">
        <v>2450</v>
      </c>
      <c r="J143" s="11">
        <v>2450</v>
      </c>
      <c r="K143" s="11">
        <v>2450</v>
      </c>
      <c r="L143" s="11">
        <v>2450</v>
      </c>
      <c r="M143" s="11">
        <v>2450</v>
      </c>
      <c r="N143" s="11">
        <v>2450</v>
      </c>
      <c r="O143" s="11">
        <v>2450</v>
      </c>
      <c r="P143" s="11">
        <v>2450</v>
      </c>
      <c r="Q143" s="10">
        <f t="shared" ref="Q143:Q151" si="48">SUM(E143:P143)</f>
        <v>29400</v>
      </c>
      <c r="R143" s="10">
        <v>29400</v>
      </c>
      <c r="S143" s="22">
        <f>Q143-R143</f>
        <v>0</v>
      </c>
      <c r="T143" s="16">
        <f t="shared" ref="T143:T152" si="49">IF(R143,Q143/R143,0)</f>
        <v>1</v>
      </c>
      <c r="U143" s="10"/>
    </row>
    <row r="144" spans="1:22" x14ac:dyDescent="0.45">
      <c r="A144" s="8"/>
      <c r="B144" s="8"/>
      <c r="C144" s="8" t="s">
        <v>135</v>
      </c>
      <c r="D144" s="8"/>
      <c r="E144" s="11">
        <v>0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0">
        <f t="shared" si="48"/>
        <v>0</v>
      </c>
      <c r="R144" s="10">
        <v>300</v>
      </c>
      <c r="S144" s="22">
        <f t="shared" ref="S144:S151" si="50">Q144-R144</f>
        <v>-300</v>
      </c>
      <c r="T144" s="16">
        <f t="shared" si="49"/>
        <v>0</v>
      </c>
      <c r="U144" s="10"/>
    </row>
    <row r="145" spans="1:22" x14ac:dyDescent="0.45">
      <c r="A145" s="8"/>
      <c r="B145" s="8"/>
      <c r="C145" s="8" t="s">
        <v>136</v>
      </c>
      <c r="D145" s="8"/>
      <c r="E145" s="11">
        <v>1581</v>
      </c>
      <c r="F145" s="11">
        <v>1360</v>
      </c>
      <c r="G145" s="11">
        <v>1530</v>
      </c>
      <c r="H145" s="11">
        <v>1530</v>
      </c>
      <c r="I145" s="11">
        <v>1360</v>
      </c>
      <c r="J145" s="11">
        <v>1530</v>
      </c>
      <c r="K145" s="11">
        <v>1530</v>
      </c>
      <c r="L145" s="11">
        <v>1445</v>
      </c>
      <c r="M145" s="11">
        <v>1500.25</v>
      </c>
      <c r="N145" s="11">
        <v>1411</v>
      </c>
      <c r="O145" s="11">
        <v>1453.5</v>
      </c>
      <c r="P145" s="11">
        <v>1632</v>
      </c>
      <c r="Q145" s="10">
        <f t="shared" si="48"/>
        <v>17862.75</v>
      </c>
      <c r="R145" s="10">
        <v>17680</v>
      </c>
      <c r="S145" s="22">
        <f t="shared" si="50"/>
        <v>182.75</v>
      </c>
      <c r="T145" s="16">
        <f t="shared" si="49"/>
        <v>1.0103365384615384</v>
      </c>
      <c r="U145" s="10"/>
    </row>
    <row r="146" spans="1:22" x14ac:dyDescent="0.45">
      <c r="A146" s="8"/>
      <c r="B146" s="8"/>
      <c r="C146" s="8" t="s">
        <v>137</v>
      </c>
      <c r="D146" s="8"/>
      <c r="E146" s="11">
        <v>0</v>
      </c>
      <c r="F146" s="11"/>
      <c r="G146" s="11"/>
      <c r="H146" s="11"/>
      <c r="I146" s="11"/>
      <c r="J146" s="11">
        <v>104.06</v>
      </c>
      <c r="K146" s="11"/>
      <c r="L146" s="11">
        <v>299</v>
      </c>
      <c r="M146" s="11"/>
      <c r="N146" s="11"/>
      <c r="O146" s="11"/>
      <c r="P146" s="11"/>
      <c r="Q146" s="10">
        <f t="shared" si="48"/>
        <v>403.06</v>
      </c>
      <c r="R146" s="10">
        <f>(U146)*($W$2/12)</f>
        <v>0</v>
      </c>
      <c r="S146" s="22">
        <f t="shared" si="50"/>
        <v>403.06</v>
      </c>
      <c r="T146" s="16">
        <f t="shared" si="49"/>
        <v>0</v>
      </c>
      <c r="U146" s="10"/>
    </row>
    <row r="147" spans="1:22" x14ac:dyDescent="0.45">
      <c r="A147" s="8"/>
      <c r="B147" s="8"/>
      <c r="C147" s="8" t="s">
        <v>138</v>
      </c>
      <c r="D147" s="8"/>
      <c r="E147" s="11">
        <v>0</v>
      </c>
      <c r="F147" s="11">
        <v>431.29</v>
      </c>
      <c r="G147" s="11">
        <v>122.4</v>
      </c>
      <c r="H147" s="11">
        <v>137.69999999999999</v>
      </c>
      <c r="I147" s="11">
        <v>220.77</v>
      </c>
      <c r="J147" s="11"/>
      <c r="K147" s="11">
        <v>137.69999999999999</v>
      </c>
      <c r="L147" s="11">
        <v>260.10000000000002</v>
      </c>
      <c r="M147" s="11">
        <v>130.05000000000001</v>
      </c>
      <c r="N147" s="11">
        <v>135.02000000000001</v>
      </c>
      <c r="O147" s="11">
        <v>126.99</v>
      </c>
      <c r="P147" s="11">
        <v>130.82</v>
      </c>
      <c r="Q147" s="10">
        <f t="shared" si="48"/>
        <v>1832.84</v>
      </c>
      <c r="R147" s="10">
        <v>1591</v>
      </c>
      <c r="S147" s="22">
        <f t="shared" si="50"/>
        <v>241.83999999999992</v>
      </c>
      <c r="T147" s="16">
        <f t="shared" si="49"/>
        <v>1.1520050282840979</v>
      </c>
      <c r="U147" s="10"/>
    </row>
    <row r="148" spans="1:22" x14ac:dyDescent="0.45">
      <c r="A148" s="8"/>
      <c r="B148" s="8"/>
      <c r="C148" s="8" t="s">
        <v>139</v>
      </c>
      <c r="D148" s="8"/>
      <c r="E148" s="11">
        <f>249.92+58.45</f>
        <v>308.37</v>
      </c>
      <c r="F148" s="11">
        <f>236.22+55.24</f>
        <v>291.45999999999998</v>
      </c>
      <c r="G148" s="11">
        <f>246.76+57.72</f>
        <v>304.48</v>
      </c>
      <c r="H148" s="11">
        <f>246.76+57.7</f>
        <v>304.45999999999998</v>
      </c>
      <c r="I148" s="11">
        <f>236.22+55.25</f>
        <v>291.47000000000003</v>
      </c>
      <c r="J148" s="11">
        <f>246.76+57.71</f>
        <v>304.46999999999997</v>
      </c>
      <c r="K148" s="11">
        <f>246.76+57.71</f>
        <v>304.46999999999997</v>
      </c>
      <c r="L148" s="11">
        <f>241.69+56.48</f>
        <v>298.17</v>
      </c>
      <c r="M148" s="11">
        <f>244.92+57.28</f>
        <v>302.2</v>
      </c>
      <c r="N148" s="11">
        <f>239.38+55.98</f>
        <v>295.36</v>
      </c>
      <c r="O148" s="11">
        <v>298.63</v>
      </c>
      <c r="P148" s="11">
        <v>312.26</v>
      </c>
      <c r="Q148" s="10">
        <f t="shared" si="48"/>
        <v>3615.8</v>
      </c>
      <c r="R148" s="10">
        <v>3602</v>
      </c>
      <c r="S148" s="22">
        <f t="shared" si="50"/>
        <v>13.800000000000182</v>
      </c>
      <c r="T148" s="16">
        <f t="shared" si="49"/>
        <v>1.0038312048861744</v>
      </c>
      <c r="U148" s="10"/>
    </row>
    <row r="149" spans="1:22" x14ac:dyDescent="0.45">
      <c r="A149" s="8"/>
      <c r="B149" s="8"/>
      <c r="C149" s="8" t="s">
        <v>140</v>
      </c>
      <c r="D149" s="8"/>
      <c r="E149" s="11">
        <v>425.37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>
        <v>228.82</v>
      </c>
      <c r="P149" s="11">
        <v>228.82</v>
      </c>
      <c r="Q149" s="10">
        <f t="shared" si="48"/>
        <v>883.01</v>
      </c>
      <c r="R149" s="10">
        <v>2500</v>
      </c>
      <c r="S149" s="22">
        <f t="shared" si="50"/>
        <v>-1616.99</v>
      </c>
      <c r="T149" s="16">
        <f t="shared" si="49"/>
        <v>0.35320400000000002</v>
      </c>
      <c r="U149" s="10"/>
    </row>
    <row r="150" spans="1:22" x14ac:dyDescent="0.45">
      <c r="A150" s="8"/>
      <c r="B150" s="8"/>
      <c r="C150" s="8" t="s">
        <v>141</v>
      </c>
      <c r="D150" s="8"/>
      <c r="E150" s="11">
        <v>0</v>
      </c>
      <c r="F150" s="11">
        <v>300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0">
        <f t="shared" si="48"/>
        <v>300</v>
      </c>
      <c r="R150" s="10">
        <v>1200</v>
      </c>
      <c r="S150" s="22">
        <f t="shared" si="50"/>
        <v>-900</v>
      </c>
      <c r="T150" s="16">
        <f t="shared" si="49"/>
        <v>0.25</v>
      </c>
      <c r="U150" s="10"/>
    </row>
    <row r="151" spans="1:22" x14ac:dyDescent="0.45">
      <c r="A151" s="8"/>
      <c r="B151" s="8"/>
      <c r="C151" s="8" t="s">
        <v>142</v>
      </c>
      <c r="D151" s="8"/>
      <c r="E151" s="12">
        <v>0</v>
      </c>
      <c r="F151" s="12"/>
      <c r="G151" s="12"/>
      <c r="H151" s="12"/>
      <c r="I151" s="12"/>
      <c r="J151" s="12"/>
      <c r="K151" s="12"/>
      <c r="L151" s="12">
        <v>615</v>
      </c>
      <c r="M151" s="12"/>
      <c r="N151" s="12"/>
      <c r="O151" s="12"/>
      <c r="P151" s="12"/>
      <c r="Q151" s="10">
        <f t="shared" si="48"/>
        <v>615</v>
      </c>
      <c r="R151" s="10">
        <v>1530</v>
      </c>
      <c r="S151" s="23">
        <f t="shared" si="50"/>
        <v>-915</v>
      </c>
      <c r="T151" s="16">
        <f t="shared" si="49"/>
        <v>0.40196078431372551</v>
      </c>
      <c r="U151" s="17"/>
    </row>
    <row r="152" spans="1:22" x14ac:dyDescent="0.45">
      <c r="A152" s="7"/>
      <c r="B152" s="7" t="s">
        <v>143</v>
      </c>
      <c r="C152" s="7"/>
      <c r="D152" s="7"/>
      <c r="E152" s="19">
        <f t="shared" ref="E152:S152" si="51">SUM(E143:E151)</f>
        <v>4764.74</v>
      </c>
      <c r="F152" s="19">
        <f t="shared" si="51"/>
        <v>4832.75</v>
      </c>
      <c r="G152" s="19">
        <f t="shared" si="51"/>
        <v>4406.8799999999992</v>
      </c>
      <c r="H152" s="19">
        <f t="shared" si="51"/>
        <v>4422.16</v>
      </c>
      <c r="I152" s="19">
        <f t="shared" si="51"/>
        <v>4322.24</v>
      </c>
      <c r="J152" s="19">
        <f t="shared" si="51"/>
        <v>4388.53</v>
      </c>
      <c r="K152" s="19">
        <f t="shared" si="51"/>
        <v>4422.17</v>
      </c>
      <c r="L152" s="19">
        <f t="shared" si="51"/>
        <v>5367.27</v>
      </c>
      <c r="M152" s="19">
        <f t="shared" si="51"/>
        <v>4382.5</v>
      </c>
      <c r="N152" s="19">
        <f t="shared" si="51"/>
        <v>4291.38</v>
      </c>
      <c r="O152" s="19">
        <f t="shared" si="51"/>
        <v>4557.9399999999996</v>
      </c>
      <c r="P152" s="19">
        <f t="shared" si="51"/>
        <v>4753.8999999999996</v>
      </c>
      <c r="Q152" s="15">
        <f t="shared" si="51"/>
        <v>54912.46</v>
      </c>
      <c r="R152" s="15">
        <f t="shared" si="51"/>
        <v>57803</v>
      </c>
      <c r="S152" s="15">
        <f t="shared" si="51"/>
        <v>-2890.54</v>
      </c>
      <c r="T152" s="18">
        <f t="shared" si="49"/>
        <v>0.94999325294534886</v>
      </c>
      <c r="U152" s="15"/>
      <c r="V152" s="3"/>
    </row>
    <row r="153" spans="1:22" x14ac:dyDescent="0.45">
      <c r="A153" s="8"/>
      <c r="B153" s="8"/>
      <c r="C153" s="8"/>
      <c r="D153" s="8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4"/>
      <c r="R153" s="22"/>
      <c r="S153" s="29"/>
      <c r="T153" s="20"/>
      <c r="U153" s="8"/>
    </row>
    <row r="154" spans="1:22" x14ac:dyDescent="0.45">
      <c r="A154" s="8"/>
      <c r="B154" s="7" t="s">
        <v>144</v>
      </c>
      <c r="C154" s="8"/>
      <c r="D154" s="8"/>
      <c r="Q154" s="8"/>
      <c r="R154" s="8"/>
      <c r="S154" s="8"/>
      <c r="T154" s="16"/>
      <c r="U154" s="8"/>
    </row>
    <row r="155" spans="1:22" x14ac:dyDescent="0.45">
      <c r="A155" s="8"/>
      <c r="B155" s="8"/>
      <c r="C155" s="8" t="s">
        <v>145</v>
      </c>
      <c r="D155" s="8"/>
      <c r="E155" s="11">
        <v>0</v>
      </c>
      <c r="F155" s="11"/>
      <c r="G155" s="11">
        <v>1000</v>
      </c>
      <c r="H155" s="11"/>
      <c r="I155" s="11"/>
      <c r="J155" s="11"/>
      <c r="K155" s="11"/>
      <c r="L155" s="11"/>
      <c r="M155" s="11"/>
      <c r="N155" s="11"/>
      <c r="O155" s="11"/>
      <c r="P155" s="11"/>
      <c r="Q155" s="10">
        <f t="shared" ref="Q155:Q162" si="52">SUM(E155:P155)</f>
        <v>1000</v>
      </c>
      <c r="R155" s="10">
        <v>1000</v>
      </c>
      <c r="S155" s="10">
        <f>Q155-R155</f>
        <v>0</v>
      </c>
      <c r="T155" s="16">
        <f t="shared" ref="T155:T171" si="53">IF(R155,Q155/R155,0)</f>
        <v>1</v>
      </c>
      <c r="U155" s="31"/>
    </row>
    <row r="156" spans="1:22" x14ac:dyDescent="0.45">
      <c r="A156" s="8"/>
      <c r="B156" s="8"/>
      <c r="C156" s="8" t="s">
        <v>146</v>
      </c>
      <c r="D156" s="8"/>
      <c r="E156" s="11">
        <v>2318</v>
      </c>
      <c r="F156" s="11">
        <v>2218</v>
      </c>
      <c r="G156" s="11">
        <v>2218</v>
      </c>
      <c r="H156" s="11">
        <v>2218</v>
      </c>
      <c r="I156" s="11"/>
      <c r="J156" s="11">
        <v>4436</v>
      </c>
      <c r="K156" s="11">
        <v>2218</v>
      </c>
      <c r="L156" s="11">
        <v>2218</v>
      </c>
      <c r="M156" s="11">
        <v>2218</v>
      </c>
      <c r="N156" s="11">
        <v>2218</v>
      </c>
      <c r="O156" s="11"/>
      <c r="P156" s="11">
        <v>2218</v>
      </c>
      <c r="Q156" s="10">
        <f t="shared" si="52"/>
        <v>24498</v>
      </c>
      <c r="R156" s="10">
        <v>26616</v>
      </c>
      <c r="S156" s="10">
        <f>Q156-R156</f>
        <v>-2118</v>
      </c>
      <c r="T156" s="16">
        <f t="shared" si="53"/>
        <v>0.92042380522993683</v>
      </c>
      <c r="U156" s="31"/>
    </row>
    <row r="157" spans="1:22" x14ac:dyDescent="0.45">
      <c r="A157" s="8"/>
      <c r="B157" s="8"/>
      <c r="C157" s="8" t="s">
        <v>147</v>
      </c>
      <c r="D157" s="8"/>
      <c r="E157" s="11">
        <v>5450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0">
        <f t="shared" si="52"/>
        <v>5450</v>
      </c>
      <c r="R157" s="10">
        <v>5450</v>
      </c>
      <c r="S157" s="10">
        <f t="shared" ref="S157:S162" si="54">Q157-R157</f>
        <v>0</v>
      </c>
      <c r="T157" s="16">
        <f t="shared" si="53"/>
        <v>1</v>
      </c>
      <c r="U157" s="31"/>
    </row>
    <row r="158" spans="1:22" x14ac:dyDescent="0.45">
      <c r="A158" s="8"/>
      <c r="B158" s="8"/>
      <c r="C158" s="8" t="s">
        <v>148</v>
      </c>
      <c r="D158" s="8"/>
      <c r="E158" s="11">
        <v>1333.02</v>
      </c>
      <c r="F158" s="11">
        <v>1333.02</v>
      </c>
      <c r="G158" s="11">
        <v>1333.02</v>
      </c>
      <c r="H158" s="11">
        <v>1333.02</v>
      </c>
      <c r="I158" s="11"/>
      <c r="J158" s="11"/>
      <c r="K158" s="11">
        <v>3999.06</v>
      </c>
      <c r="L158" s="11"/>
      <c r="M158" s="11">
        <v>1333.02</v>
      </c>
      <c r="N158" s="11">
        <v>1333.02</v>
      </c>
      <c r="O158" s="11"/>
      <c r="P158" s="11">
        <v>1333.02</v>
      </c>
      <c r="Q158" s="10">
        <f t="shared" si="52"/>
        <v>13330.2</v>
      </c>
      <c r="R158" s="10">
        <v>16477</v>
      </c>
      <c r="S158" s="10">
        <f t="shared" si="54"/>
        <v>-3146.7999999999993</v>
      </c>
      <c r="T158" s="16">
        <f t="shared" si="53"/>
        <v>0.80901863203253022</v>
      </c>
      <c r="U158" s="31"/>
    </row>
    <row r="159" spans="1:22" x14ac:dyDescent="0.45">
      <c r="A159" s="8"/>
      <c r="B159" s="8"/>
      <c r="C159" s="8" t="s">
        <v>149</v>
      </c>
      <c r="D159" s="8"/>
      <c r="E159" s="11">
        <v>5593.96</v>
      </c>
      <c r="F159" s="11">
        <v>5593.96</v>
      </c>
      <c r="G159" s="11">
        <v>5593.96</v>
      </c>
      <c r="H159" s="11">
        <v>5593.96</v>
      </c>
      <c r="I159" s="11">
        <v>5593.96</v>
      </c>
      <c r="J159" s="11">
        <v>5593.96</v>
      </c>
      <c r="K159" s="11">
        <v>5593.96</v>
      </c>
      <c r="L159" s="11">
        <v>5593.96</v>
      </c>
      <c r="M159" s="11">
        <v>5593.96</v>
      </c>
      <c r="N159" s="11">
        <v>5593.96</v>
      </c>
      <c r="O159" s="11">
        <v>5593.96</v>
      </c>
      <c r="P159" s="11">
        <v>5593.96</v>
      </c>
      <c r="Q159" s="10">
        <f t="shared" si="52"/>
        <v>67127.520000000004</v>
      </c>
      <c r="R159" s="10">
        <v>66950</v>
      </c>
      <c r="S159" s="10">
        <f t="shared" si="54"/>
        <v>177.52000000000407</v>
      </c>
      <c r="T159" s="16">
        <f t="shared" si="53"/>
        <v>1.0026515309932786</v>
      </c>
      <c r="U159" s="31"/>
    </row>
    <row r="160" spans="1:22" x14ac:dyDescent="0.45">
      <c r="A160" s="8"/>
      <c r="B160" s="8"/>
      <c r="C160" s="8" t="s">
        <v>150</v>
      </c>
      <c r="D160" s="8"/>
      <c r="E160" s="11">
        <v>0</v>
      </c>
      <c r="F160" s="11">
        <v>97.15</v>
      </c>
      <c r="G160" s="11"/>
      <c r="H160" s="11"/>
      <c r="I160" s="11"/>
      <c r="J160" s="11"/>
      <c r="K160" s="11">
        <v>189.18</v>
      </c>
      <c r="L160" s="11">
        <v>92.52</v>
      </c>
      <c r="M160" s="11"/>
      <c r="N160" s="11"/>
      <c r="O160" s="11">
        <v>185.07</v>
      </c>
      <c r="P160" s="11">
        <v>92.55</v>
      </c>
      <c r="Q160" s="10">
        <f t="shared" si="52"/>
        <v>656.47</v>
      </c>
      <c r="R160" s="10">
        <v>930</v>
      </c>
      <c r="S160" s="10">
        <f t="shared" si="54"/>
        <v>-273.52999999999997</v>
      </c>
      <c r="T160" s="16">
        <f t="shared" si="53"/>
        <v>0.70588172043010755</v>
      </c>
      <c r="U160" s="31"/>
    </row>
    <row r="161" spans="1:22" x14ac:dyDescent="0.45">
      <c r="A161" s="8"/>
      <c r="B161" s="8"/>
      <c r="C161" s="8" t="s">
        <v>151</v>
      </c>
      <c r="D161" s="8"/>
      <c r="E161" s="11">
        <v>0</v>
      </c>
      <c r="F161" s="11">
        <v>56.93</v>
      </c>
      <c r="G161" s="11">
        <v>1094.5899999999999</v>
      </c>
      <c r="H161" s="11"/>
      <c r="I161" s="11"/>
      <c r="J161" s="11">
        <v>-1044.0899999999999</v>
      </c>
      <c r="K161" s="11"/>
      <c r="L161" s="11"/>
      <c r="M161" s="11">
        <v>290.2</v>
      </c>
      <c r="N161" s="11"/>
      <c r="O161" s="11"/>
      <c r="P161" s="11">
        <v>28.18</v>
      </c>
      <c r="Q161" s="10">
        <f t="shared" si="52"/>
        <v>425.81000000000006</v>
      </c>
      <c r="R161" s="10">
        <v>1000</v>
      </c>
      <c r="S161" s="10">
        <f t="shared" si="54"/>
        <v>-574.18999999999994</v>
      </c>
      <c r="T161" s="16">
        <f t="shared" si="53"/>
        <v>0.42581000000000008</v>
      </c>
      <c r="U161" s="31"/>
    </row>
    <row r="162" spans="1:22" x14ac:dyDescent="0.45">
      <c r="A162" s="8"/>
      <c r="B162" s="8"/>
      <c r="C162" s="8" t="s">
        <v>152</v>
      </c>
      <c r="D162" s="8"/>
      <c r="E162" s="36">
        <v>0</v>
      </c>
      <c r="F162" s="36">
        <v>33.75</v>
      </c>
      <c r="G162" s="36">
        <v>94.64</v>
      </c>
      <c r="H162" s="36">
        <v>189.22</v>
      </c>
      <c r="I162" s="36">
        <v>106.24</v>
      </c>
      <c r="J162" s="36"/>
      <c r="K162" s="36"/>
      <c r="L162" s="36">
        <v>94.97</v>
      </c>
      <c r="M162" s="36"/>
      <c r="N162" s="36"/>
      <c r="O162" s="36"/>
      <c r="P162" s="36"/>
      <c r="Q162" s="10">
        <f t="shared" si="52"/>
        <v>518.82000000000005</v>
      </c>
      <c r="R162" s="10">
        <v>1000</v>
      </c>
      <c r="S162" s="37">
        <f t="shared" si="54"/>
        <v>-481.17999999999995</v>
      </c>
      <c r="T162" s="16">
        <f t="shared" si="53"/>
        <v>0.51882000000000006</v>
      </c>
      <c r="U162" s="38"/>
    </row>
    <row r="163" spans="1:22" x14ac:dyDescent="0.45">
      <c r="A163" s="7"/>
      <c r="B163" s="7" t="s">
        <v>153</v>
      </c>
      <c r="C163" s="7"/>
      <c r="D163" s="7"/>
      <c r="E163" s="14">
        <f t="shared" ref="E163:P163" si="55">SUM(E155:E162)</f>
        <v>14694.98</v>
      </c>
      <c r="F163" s="14">
        <f t="shared" si="55"/>
        <v>9332.81</v>
      </c>
      <c r="G163" s="14">
        <f t="shared" si="55"/>
        <v>11334.21</v>
      </c>
      <c r="H163" s="14">
        <f t="shared" si="55"/>
        <v>9334.1999999999989</v>
      </c>
      <c r="I163" s="14">
        <f t="shared" si="55"/>
        <v>5700.2</v>
      </c>
      <c r="J163" s="14">
        <f t="shared" si="55"/>
        <v>8985.869999999999</v>
      </c>
      <c r="K163" s="14">
        <f t="shared" si="55"/>
        <v>12000.2</v>
      </c>
      <c r="L163" s="14">
        <f t="shared" si="55"/>
        <v>7999.4500000000007</v>
      </c>
      <c r="M163" s="14">
        <f t="shared" si="55"/>
        <v>9435.18</v>
      </c>
      <c r="N163" s="14">
        <f t="shared" si="55"/>
        <v>9144.98</v>
      </c>
      <c r="O163" s="14">
        <f t="shared" si="55"/>
        <v>5779.03</v>
      </c>
      <c r="P163" s="14">
        <f t="shared" si="55"/>
        <v>9265.7099999999991</v>
      </c>
      <c r="Q163" s="15">
        <f t="shared" ref="Q163:S163" si="56">SUM(Q155:Q162)</f>
        <v>113006.82</v>
      </c>
      <c r="R163" s="15">
        <f t="shared" si="56"/>
        <v>119423</v>
      </c>
      <c r="S163" s="15">
        <f t="shared" si="56"/>
        <v>-6416.1799999999948</v>
      </c>
      <c r="T163" s="18">
        <f t="shared" si="53"/>
        <v>0.94627349840482999</v>
      </c>
      <c r="U163" s="33"/>
      <c r="V163" s="3"/>
    </row>
    <row r="164" spans="1:22" x14ac:dyDescent="0.4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 t="s">
        <v>78</v>
      </c>
      <c r="S164" s="8" t="s">
        <v>78</v>
      </c>
      <c r="T164" s="16"/>
      <c r="U164" s="8"/>
    </row>
    <row r="165" spans="1:22" x14ac:dyDescent="0.45">
      <c r="A165" s="7" t="s">
        <v>154</v>
      </c>
      <c r="B165" s="7"/>
      <c r="C165" s="7"/>
      <c r="D165" s="7"/>
      <c r="E165" s="14">
        <f t="shared" ref="E165:S165" si="57">E152+E163</f>
        <v>19459.72</v>
      </c>
      <c r="F165" s="14">
        <f t="shared" si="57"/>
        <v>14165.56</v>
      </c>
      <c r="G165" s="14">
        <f t="shared" si="57"/>
        <v>15741.089999999998</v>
      </c>
      <c r="H165" s="14">
        <f t="shared" si="57"/>
        <v>13756.359999999999</v>
      </c>
      <c r="I165" s="14">
        <f t="shared" si="57"/>
        <v>10022.439999999999</v>
      </c>
      <c r="J165" s="14">
        <f t="shared" si="57"/>
        <v>13374.399999999998</v>
      </c>
      <c r="K165" s="14">
        <f t="shared" si="57"/>
        <v>16422.370000000003</v>
      </c>
      <c r="L165" s="14">
        <f t="shared" si="57"/>
        <v>13366.720000000001</v>
      </c>
      <c r="M165" s="14">
        <f t="shared" si="57"/>
        <v>13817.68</v>
      </c>
      <c r="N165" s="14">
        <f t="shared" si="57"/>
        <v>13436.36</v>
      </c>
      <c r="O165" s="14">
        <f t="shared" si="57"/>
        <v>10336.969999999999</v>
      </c>
      <c r="P165" s="14">
        <f t="shared" si="57"/>
        <v>14019.609999999999</v>
      </c>
      <c r="Q165" s="14">
        <f t="shared" si="57"/>
        <v>167919.28</v>
      </c>
      <c r="R165" s="14">
        <f t="shared" si="57"/>
        <v>177226</v>
      </c>
      <c r="S165" s="14">
        <f t="shared" si="57"/>
        <v>-9306.7199999999939</v>
      </c>
      <c r="T165" s="20">
        <f t="shared" si="53"/>
        <v>0.94748671188200373</v>
      </c>
      <c r="U165" s="14">
        <f>U152+U163</f>
        <v>0</v>
      </c>
      <c r="V165" s="3"/>
    </row>
    <row r="166" spans="1:22" x14ac:dyDescent="0.45">
      <c r="A166" s="8"/>
      <c r="B166" s="8"/>
      <c r="C166" s="8"/>
      <c r="D166" s="8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20"/>
      <c r="U166" s="10"/>
    </row>
    <row r="167" spans="1:22" x14ac:dyDescent="0.45">
      <c r="A167" s="7" t="s">
        <v>155</v>
      </c>
      <c r="B167" s="7"/>
      <c r="C167" s="7"/>
      <c r="D167" s="7"/>
      <c r="E167" s="14">
        <f t="shared" ref="E167:S167" si="58">E95+E140+E165</f>
        <v>26675.83</v>
      </c>
      <c r="F167" s="14">
        <f t="shared" si="58"/>
        <v>21193.4</v>
      </c>
      <c r="G167" s="14">
        <f t="shared" si="58"/>
        <v>22359.539999999997</v>
      </c>
      <c r="H167" s="14">
        <f t="shared" si="58"/>
        <v>21774.309999999998</v>
      </c>
      <c r="I167" s="14">
        <f t="shared" si="58"/>
        <v>15569.72</v>
      </c>
      <c r="J167" s="14">
        <f t="shared" si="58"/>
        <v>20799.129999999997</v>
      </c>
      <c r="K167" s="14">
        <f t="shared" si="58"/>
        <v>30515.700000000004</v>
      </c>
      <c r="L167" s="14">
        <f t="shared" si="58"/>
        <v>19724.230000000003</v>
      </c>
      <c r="M167" s="14">
        <f t="shared" si="58"/>
        <v>22237.599999999999</v>
      </c>
      <c r="N167" s="14">
        <f t="shared" si="58"/>
        <v>20687.530000000002</v>
      </c>
      <c r="O167" s="14">
        <f t="shared" si="58"/>
        <v>15939.59</v>
      </c>
      <c r="P167" s="14">
        <f t="shared" si="58"/>
        <v>24156.42</v>
      </c>
      <c r="Q167" s="14">
        <f t="shared" si="58"/>
        <v>261236.5</v>
      </c>
      <c r="R167" s="14">
        <f t="shared" si="58"/>
        <v>309244.2</v>
      </c>
      <c r="S167" s="14">
        <f t="shared" si="58"/>
        <v>-48007.699999999983</v>
      </c>
      <c r="T167" s="20">
        <f t="shared" si="53"/>
        <v>0.84475796150744298</v>
      </c>
      <c r="U167" s="14">
        <f>U95+U140+U165</f>
        <v>0</v>
      </c>
      <c r="V167" s="3"/>
    </row>
    <row r="168" spans="1:22" x14ac:dyDescent="0.45">
      <c r="A168" s="7"/>
      <c r="B168" s="7"/>
      <c r="C168" s="7"/>
      <c r="D168" s="7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20"/>
      <c r="U168" s="14"/>
      <c r="V168" s="3"/>
    </row>
    <row r="169" spans="1:22" x14ac:dyDescent="0.45">
      <c r="A169" s="7" t="s">
        <v>156</v>
      </c>
      <c r="B169" s="7"/>
      <c r="C169" s="7"/>
      <c r="D169" s="7"/>
      <c r="E169" s="14">
        <f t="shared" ref="E169:S169" si="59">E62</f>
        <v>42152.25</v>
      </c>
      <c r="F169" s="14">
        <f t="shared" si="59"/>
        <v>24755.09</v>
      </c>
      <c r="G169" s="14">
        <f t="shared" si="59"/>
        <v>20563.310000000001</v>
      </c>
      <c r="H169" s="14">
        <f t="shared" si="59"/>
        <v>39976.839999999997</v>
      </c>
      <c r="I169" s="14">
        <f t="shared" si="59"/>
        <v>17144.05</v>
      </c>
      <c r="J169" s="14">
        <f t="shared" si="59"/>
        <v>18087.37</v>
      </c>
      <c r="K169" s="14">
        <f t="shared" si="59"/>
        <v>20421.460000000003</v>
      </c>
      <c r="L169" s="14">
        <f t="shared" si="59"/>
        <v>17319.27</v>
      </c>
      <c r="M169" s="14">
        <f t="shared" si="59"/>
        <v>11590.46</v>
      </c>
      <c r="N169" s="14">
        <f t="shared" si="59"/>
        <v>12647.63</v>
      </c>
      <c r="O169" s="14">
        <f t="shared" si="59"/>
        <v>20718.02</v>
      </c>
      <c r="P169" s="14">
        <f t="shared" si="59"/>
        <v>27305.739999999998</v>
      </c>
      <c r="Q169" s="14">
        <f t="shared" si="59"/>
        <v>271681.49</v>
      </c>
      <c r="R169" s="14">
        <f t="shared" si="59"/>
        <v>275654</v>
      </c>
      <c r="S169" s="14">
        <f t="shared" si="59"/>
        <v>2227.4899999999907</v>
      </c>
      <c r="T169" s="20">
        <f t="shared" si="53"/>
        <v>0.98558878158851315</v>
      </c>
      <c r="U169" s="14">
        <f>U62</f>
        <v>0</v>
      </c>
      <c r="V169" s="3"/>
    </row>
    <row r="170" spans="1:22" ht="14.65" thickBot="1" x14ac:dyDescent="0.5">
      <c r="A170" s="8"/>
      <c r="B170" s="8"/>
      <c r="C170" s="8"/>
      <c r="D170" s="8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6"/>
      <c r="U170" s="10"/>
    </row>
    <row r="171" spans="1:22" ht="14.65" thickBot="1" x14ac:dyDescent="0.5">
      <c r="A171" s="39" t="s">
        <v>157</v>
      </c>
      <c r="B171" s="40"/>
      <c r="C171" s="40"/>
      <c r="D171" s="40"/>
      <c r="E171" s="41">
        <f t="shared" ref="E171:S171" si="60">E62-E167</f>
        <v>15476.419999999998</v>
      </c>
      <c r="F171" s="41">
        <f t="shared" si="60"/>
        <v>3561.6899999999987</v>
      </c>
      <c r="G171" s="41">
        <f t="shared" si="60"/>
        <v>-1796.2299999999959</v>
      </c>
      <c r="H171" s="41">
        <f t="shared" si="60"/>
        <v>18202.53</v>
      </c>
      <c r="I171" s="41">
        <f t="shared" si="60"/>
        <v>1574.33</v>
      </c>
      <c r="J171" s="41">
        <f t="shared" si="60"/>
        <v>-2711.7599999999984</v>
      </c>
      <c r="K171" s="41">
        <f t="shared" si="60"/>
        <v>-10094.240000000002</v>
      </c>
      <c r="L171" s="41">
        <f t="shared" si="60"/>
        <v>-2404.9600000000028</v>
      </c>
      <c r="M171" s="41">
        <f t="shared" si="60"/>
        <v>-10647.14</v>
      </c>
      <c r="N171" s="41">
        <f t="shared" si="60"/>
        <v>-8039.9000000000033</v>
      </c>
      <c r="O171" s="41">
        <f t="shared" si="60"/>
        <v>4778.43</v>
      </c>
      <c r="P171" s="41">
        <f t="shared" si="60"/>
        <v>3149.3199999999997</v>
      </c>
      <c r="Q171" s="41">
        <f t="shared" si="60"/>
        <v>10444.989999999991</v>
      </c>
      <c r="R171" s="41">
        <f t="shared" si="60"/>
        <v>-33590.200000000012</v>
      </c>
      <c r="S171" s="41">
        <f t="shared" si="60"/>
        <v>50235.189999999973</v>
      </c>
      <c r="T171" s="42">
        <f t="shared" si="53"/>
        <v>-0.31095349238766029</v>
      </c>
      <c r="U171" s="43">
        <f>U62-U167</f>
        <v>0</v>
      </c>
      <c r="V171" s="3"/>
    </row>
    <row r="172" spans="1:22" x14ac:dyDescent="0.45">
      <c r="A172" s="7"/>
      <c r="B172" s="7"/>
      <c r="C172" s="7"/>
      <c r="D172" s="7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20"/>
      <c r="U172" s="14"/>
      <c r="V172" s="3"/>
    </row>
    <row r="173" spans="1:22" x14ac:dyDescent="0.45">
      <c r="A173" s="7"/>
      <c r="B173" s="7"/>
      <c r="C173" s="7"/>
      <c r="D173" s="7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20"/>
      <c r="U173" s="14"/>
      <c r="V173" s="3"/>
    </row>
    <row r="174" spans="1:22" ht="14.65" thickBot="1" x14ac:dyDescent="0.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16"/>
      <c r="U174" s="10"/>
    </row>
    <row r="175" spans="1:22" ht="14.65" thickBot="1" x14ac:dyDescent="0.5">
      <c r="A175" s="39" t="s">
        <v>158</v>
      </c>
      <c r="B175" s="40"/>
      <c r="C175" s="40"/>
      <c r="D175" s="40"/>
      <c r="E175" s="41">
        <f t="shared" ref="E175:Q175" si="61">E171+E35</f>
        <v>15752.759999999998</v>
      </c>
      <c r="F175" s="41">
        <f t="shared" si="61"/>
        <v>3132.4799999999987</v>
      </c>
      <c r="G175" s="41">
        <f t="shared" si="61"/>
        <v>-2363.2299999999959</v>
      </c>
      <c r="H175" s="41">
        <f t="shared" si="61"/>
        <v>18652.53</v>
      </c>
      <c r="I175" s="41">
        <f t="shared" si="61"/>
        <v>4000.68</v>
      </c>
      <c r="J175" s="41">
        <f t="shared" si="61"/>
        <v>-3406.7499999999982</v>
      </c>
      <c r="K175" s="41">
        <f t="shared" si="61"/>
        <v>-6637.2900000000018</v>
      </c>
      <c r="L175" s="41">
        <f t="shared" si="61"/>
        <v>-2864.9200000000028</v>
      </c>
      <c r="M175" s="41">
        <f t="shared" si="61"/>
        <v>1239.1599999999999</v>
      </c>
      <c r="N175" s="41">
        <f t="shared" si="61"/>
        <v>15934.269999999995</v>
      </c>
      <c r="O175" s="41">
        <f t="shared" si="61"/>
        <v>10829.400000000001</v>
      </c>
      <c r="P175" s="41">
        <f t="shared" si="61"/>
        <v>2494.5699999999997</v>
      </c>
      <c r="Q175" s="41">
        <f t="shared" si="61"/>
        <v>55660.160000000003</v>
      </c>
      <c r="R175" s="41"/>
      <c r="S175" s="41"/>
      <c r="T175" s="42"/>
      <c r="U175" s="43"/>
      <c r="V175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Parks</dc:creator>
  <cp:lastModifiedBy>Holly Parks</cp:lastModifiedBy>
  <dcterms:created xsi:type="dcterms:W3CDTF">2021-01-11T23:19:33Z</dcterms:created>
  <dcterms:modified xsi:type="dcterms:W3CDTF">2021-01-12T23:29:04Z</dcterms:modified>
</cp:coreProperties>
</file>